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e12EqImNBrTIld3i1ohTLIO9dEArlJ296hNaAIcc/K/Aasiy/y6sdLKFWtYBeO3/MLfmJqBy3AzOrDyOuNcDWA==" workbookSaltValue="gjFSYSxX7PUWPSOJ0SPT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ES19" i="8"/>
  <c r="BH19" i="13"/>
  <c r="R8" i="9"/>
  <c r="X12" i="21" s="1"/>
  <c r="EP19" i="8"/>
  <c r="EP19" i="19"/>
  <c r="T17" i="11"/>
  <c r="BF11" i="11"/>
  <c r="BH11" i="16"/>
  <c r="BL9" i="11"/>
  <c r="BH17" i="16"/>
  <c r="BG10" i="11"/>
  <c r="BM16" i="11"/>
  <c r="P17" i="17"/>
  <c r="BL17" i="11"/>
  <c r="BK12" i="11"/>
  <c r="BF10" i="11"/>
  <c r="BK9" i="11"/>
  <c r="AT17" i="20"/>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F9" i="8"/>
  <c r="J18" i="17"/>
  <c r="L15" i="2"/>
  <c r="L17" i="2"/>
  <c r="V10" i="16"/>
  <c r="V9" i="16"/>
  <c r="BG15" i="13"/>
  <c r="BA18" i="13"/>
  <c r="BE15" i="13"/>
  <c r="AH20" i="20"/>
  <c r="AL20" i="20"/>
  <c r="AB20" i="20"/>
  <c r="U10" i="11"/>
  <c r="AO20" i="20"/>
  <c r="AN20" i="20"/>
  <c r="Y20" i="20"/>
  <c r="AJ19" i="8" l="1"/>
  <c r="T19" i="8"/>
  <c r="AC10" i="11"/>
  <c r="D10" i="6"/>
  <c r="H13" i="12"/>
  <c r="H12" i="7"/>
  <c r="AL12" i="11"/>
  <c r="B10" i="6"/>
  <c r="L9" i="2"/>
  <c r="U9" i="17"/>
  <c r="U19" i="17" s="1"/>
  <c r="L16"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E12" i="6"/>
  <c r="AO12" i="11"/>
  <c r="V17" i="16"/>
  <c r="BL12" i="11"/>
  <c r="S17" i="16"/>
  <c r="BF16" i="11"/>
  <c r="BF17" i="11"/>
  <c r="V11" i="16"/>
  <c r="Q17" i="20"/>
  <c r="Q18" i="20" s="1"/>
  <c r="BH15" i="16"/>
  <c r="BH15" i="11"/>
  <c r="BJ17" i="11"/>
  <c r="V15" i="11"/>
  <c r="BH9" i="16"/>
  <c r="AP16" i="20"/>
  <c r="H12" i="2"/>
  <c r="AY13" i="8"/>
  <c r="L9" i="14"/>
  <c r="L12" i="14"/>
  <c r="C10" i="6"/>
  <c r="AY13" i="13"/>
  <c r="BE9" i="13"/>
  <c r="BA13" i="13"/>
  <c r="BE13" i="13" s="1"/>
  <c r="BG15" i="8"/>
  <c r="K15" i="7" s="1"/>
  <c r="BD16" i="8"/>
  <c r="H16" i="7" s="1"/>
  <c r="AO17" i="11"/>
  <c r="L16" i="14"/>
  <c r="L17" i="14"/>
  <c r="F15" i="17"/>
  <c r="AQ15" i="17" s="1"/>
  <c r="BB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3" i="2" l="1"/>
  <c r="F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<sst xmlns="http://schemas.openxmlformats.org/spreadsheetml/2006/main" count="2102" uniqueCount="917">
  <si>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</si>
  <si>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</si>
  <si>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</si>
  <si>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</si>
  <si>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</si>
  <si>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</si>
  <si>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</si>
  <si>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</si>
  <si>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</si>
  <si>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</si>
  <si>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</si>
  <si>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</si>
  <si>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</si>
  <si>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</si>
  <si>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</si>
  <si>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</si>
  <si>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</si>
  <si>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</si>
  <si>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</si>
  <si>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</si>
  <si>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</si>
  <si>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</si>
  <si>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</si>
  <si>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</si>
  <si>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</si>
  <si>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</si>
  <si>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</si>
  <si>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</si>
  <si>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</si>
  <si>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</si>
  <si>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</si>
  <si>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</si>
  <si>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</si>
  <si>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</si>
  <si>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</si>
  <si>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</si>
  <si>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</si>
  <si>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</si>
  <si>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</si>
  <si>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</si>
  <si>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</si>
  <si>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</si>
  <si>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</si>
  <si>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</si>
  <si>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</si>
  <si>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</si>
  <si>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</si>
  <si>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</si>
  <si>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</si>
  <si>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</si>
  <si>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</si>
  <si>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</si>
  <si>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</si>
  <si>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</si>
  <si>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</si>
  <si>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</si>
  <si>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</si>
  <si>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</si>
  <si>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</si>
  <si>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</si>
  <si>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</si>
  <si>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</si>
  <si>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</si>
  <si>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</si>
  <si>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</si>
  <si>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</si>
  <si>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</si>
  <si>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</si>
  <si>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</si>
  <si>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</si>
  <si>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</si>
  <si>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</si>
  <si>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</si>
  <si>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</si>
  <si>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</si>
  <si>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</si>
  <si>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</si>
  <si>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</si>
  <si>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</si>
  <si>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</si>
  <si>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</si>
  <si>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</si>
  <si>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</si>
  <si>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</si>
  <si>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</si>
  <si>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</si>
  <si>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</si>
  <si>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</si>
  <si>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</si>
  <si>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</si>
  <si>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</si>
  <si>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</si>
  <si>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</si>
  <si>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</si>
  <si>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</si>
  <si>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</si>
  <si>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</si>
  <si>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</si>
  <si>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</si>
  <si>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</si>
  <si>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</si>
  <si>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</si>
  <si>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</si>
  <si>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</si>
  <si>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</si>
  <si>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</si>
  <si>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</si>
  <si>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</si>
  <si>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</si>
  <si>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</si>
  <si>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</si>
  <si>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</si>
  <si>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</si>
  <si>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</si>
  <si>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</si>
  <si>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</si>
  <si>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</si>
  <si>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</si>
  <si>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</si>
  <si>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</si>
  <si>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</si>
  <si>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</si>
  <si>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</si>
  <si>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</si>
  <si>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</si>
  <si>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</si>
  <si>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</si>
  <si>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</si>
  <si>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</si>
  <si>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</si>
  <si>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</si>
  <si>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</si>
  <si>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</si>
  <si>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</si>
  <si>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</si>
  <si>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</si>
  <si>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</si>
  <si>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</si>
  <si>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</si>
  <si>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</si>
  <si>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</si>
  <si>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</si>
  <si>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</si>
  <si>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</si>
  <si>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</si>
  <si>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</si>
  <si>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</si>
  <si>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</si>
  <si>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</si>
  <si>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</si>
  <si>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</si>
  <si>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</si>
  <si>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</si>
  <si>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</si>
  <si>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</si>
  <si>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</si>
  <si>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</si>
  <si>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</si>
  <si>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</si>
  <si>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</si>
  <si>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</si>
  <si>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</si>
  <si>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</si>
  <si>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</si>
  <si>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</si>
  <si>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</si>
  <si>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</si>
  <si>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</si>
  <si>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</si>
  <si>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</si>
  <si>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</si>
  <si>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</si>
  <si>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</si>
  <si>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</si>
  <si>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</si>
  <si>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</si>
  <si>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</si>
  <si>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</si>
  <si>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</si>
  <si>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</si>
  <si>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</si>
  <si>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</si>
  <si>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</si>
  <si>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</si>
  <si>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</si>
  <si>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</si>
  <si>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</si>
  <si>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</si>
  <si>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</si>
  <si>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</si>
  <si>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</si>
  <si>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</si>
  <si>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</si>
  <si>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</si>
  <si>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</si>
  <si>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</si>
  <si>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</si>
  <si>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</si>
  <si>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</si>
  <si>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</si>
  <si>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</si>
  <si>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</si>
  <si>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</si>
  <si>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</si>
  <si>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</si>
  <si>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</si>
  <si>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</si>
  <si>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</si>
  <si>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</si>
  <si>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</si>
  <si>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</si>
  <si>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</si>
  <si>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</si>
  <si>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</si>
  <si>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</si>
  <si>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</si>
  <si>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</si>
  <si>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</si>
  <si>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</si>
  <si>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</si>
  <si>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</si>
  <si>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</si>
  <si>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</si>
  <si>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</si>
  <si>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</si>
  <si>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</si>
  <si>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</si>
  <si>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</si>
  <si>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</si>
  <si>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</si>
  <si>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</si>
  <si>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</si>
  <si>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</si>
  <si>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</si>
  <si>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</si>
  <si>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</si>
  <si>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</si>
  <si>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</si>
  <si>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</si>
  <si>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</si>
  <si>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</si>
  <si>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</si>
  <si>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</si>
  <si>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</si>
  <si>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</si>
  <si>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</si>
  <si>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</si>
  <si>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</si>
  <si>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</si>
  <si>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</si>
  <si>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</si>
  <si>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</si>
  <si>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</si>
  <si>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</si>
  <si>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</si>
  <si>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</si>
  <si>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</si>
  <si>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</si>
  <si>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</si>
  <si>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</si>
  <si>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</si>
  <si>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</si>
  <si>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</si>
  <si>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</si>
  <si>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</si>
  <si>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</si>
  <si>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</si>
  <si>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</si>
  <si>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</si>
  <si>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</si>
  <si>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</si>
  <si>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</si>
  <si>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</si>
  <si>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</si>
  <si>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</si>
  <si>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</si>
  <si>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</si>
  <si>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</si>
  <si>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</si>
  <si>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</si>
  <si>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</si>
  <si>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</si>
  <si>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</si>
  <si>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</si>
  <si>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</si>
  <si>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</si>
  <si>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</si>
  <si>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</si>
  <si>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</si>
  <si>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</si>
  <si>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</si>
  <si>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</si>
  <si>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</si>
  <si>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</si>
  <si>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</si>
  <si>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</si>
  <si>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</si>
  <si>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</si>
  <si>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</si>
  <si>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</si>
  <si>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</si>
  <si>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</si>
  <si>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</si>
  <si>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</si>
  <si>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</si>
  <si>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</si>
  <si>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</si>
  <si>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</si>
  <si>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</si>
  <si>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</si>
  <si>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</si>
  <si>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</si>
  <si>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</si>
  <si>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</si>
  <si>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</si>
  <si>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</si>
  <si>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</si>
  <si>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</si>
  <si>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</si>
  <si>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</si>
  <si>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</si>
  <si>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</si>
  <si>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</si>
  <si>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</si>
  <si>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</si>
  <si>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</si>
  <si>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</si>
  <si>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</si>
  <si>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</si>
  <si>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</si>
  <si>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</si>
  <si>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</si>
  <si>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</si>
  <si>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</si>
  <si>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</si>
  <si>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</si>
  <si>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</si>
  <si>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</si>
  <si>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</si>
  <si>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</si>
  <si>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</si>
  <si>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</si>
  <si>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</si>
  <si>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</si>
  <si>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</si>
  <si>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</si>
  <si>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</si>
  <si>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</si>
  <si>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</si>
  <si>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</si>
  <si>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</si>
  <si>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</si>
  <si>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</si>
  <si>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</si>
  <si>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</si>
  <si>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</si>
  <si>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</si>
  <si>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</si>
  <si>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</si>
  <si>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</si>
  <si>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</si>
  <si>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</si>
  <si>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</si>
  <si>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</si>
  <si>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</si>
  <si>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</si>
  <si>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</si>
  <si>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</si>
  <si>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</si>
  <si>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</si>
  <si>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</si>
  <si>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</si>
  <si>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</si>
  <si>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</si>
  <si>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</si>
  <si>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</si>
  <si>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</si>
  <si>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</si>
  <si>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</si>
  <si>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</si>
  <si>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</si>
  <si>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</si>
  <si>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</si>
  <si>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</si>
  <si>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</si>
  <si>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</si>
  <si>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</si>
  <si>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</si>
  <si>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</si>
  <si>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</si>
  <si>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</si>
  <si>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</si>
  <si>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</si>
  <si>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</si>
  <si>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</si>
  <si>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</si>
  <si>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</si>
  <si>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</si>
  <si>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</si>
  <si>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</si>
  <si>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</si>
  <si>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</si>
  <si>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</si>
  <si>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</si>
  <si>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</si>
  <si>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</si>
  <si>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</si>
  <si>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</si>
  <si>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</si>
  <si>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</si>
  <si>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</si>
  <si>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</si>
  <si>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</si>
  <si>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</si>
  <si>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</si>
  <si>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</si>
  <si>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</si>
  <si>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</si>
  <si>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</si>
  <si>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</si>
  <si>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</si>
  <si>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</si>
  <si>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</si>
  <si>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</si>
  <si>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</si>
  <si>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</si>
  <si>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</si>
  <si>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</si>
  <si>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</si>
  <si>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</si>
  <si>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</si>
  <si>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</si>
  <si>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</si>
  <si>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</si>
  <si>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</si>
  <si>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</si>
  <si>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</si>
  <si>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</si>
  <si>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</si>
  <si>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</si>
  <si>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</si>
  <si>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</si>
  <si>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</si>
  <si>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</si>
  <si>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</si>
  <si>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</si>
  <si>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</si>
  <si>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</si>
  <si>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</si>
  <si>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</si>
  <si>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</si>
  <si>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</si>
  <si>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</si>
  <si>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</si>
  <si>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</si>
  <si>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</si>
  <si>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</si>
  <si>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</si>
  <si>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</si>
  <si>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</si>
  <si>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</si>
  <si>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</si>
  <si>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</si>
  <si>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</si>
  <si>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</si>
  <si>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</si>
  <si>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</si>
  <si>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</si>
  <si>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</si>
  <si>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</si>
  <si>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</si>
  <si>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</si>
  <si>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</si>
  <si>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</si>
  <si>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</si>
  <si>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</si>
  <si>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</si>
  <si>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</si>
  <si>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</si>
  <si>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</si>
  <si>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</si>
  <si>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</si>
  <si>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</si>
  <si>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</si>
  <si>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</si>
  <si>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</si>
  <si>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</si>
  <si>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</si>
  <si>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</si>
  <si>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</si>
  <si>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</si>
  <si>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</si>
  <si>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</si>
  <si>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</si>
  <si>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</si>
  <si>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</si>
  <si>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</si>
  <si>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</si>
  <si>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</si>
  <si>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</si>
  <si>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</si>
  <si>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</si>
  <si>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</si>
  <si>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</si>
  <si>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</si>
  <si>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</si>
  <si>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</si>
  <si>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</si>
  <si>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</si>
  <si>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</si>
  <si>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</si>
  <si>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</si>
  <si>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</si>
  <si>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</si>
  <si>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</si>
  <si>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</si>
  <si>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</si>
  <si>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</si>
  <si>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</si>
  <si>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</si>
  <si>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</si>
  <si>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</si>
  <si>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</si>
  <si>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</si>
  <si>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</si>
  <si>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</si>
  <si>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</si>
  <si>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</si>
  <si>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</si>
  <si>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</si>
  <si>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</si>
  <si>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</si>
  <si>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</si>
  <si>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</si>
  <si>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</si>
  <si>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</si>
  <si>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</si>
  <si>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</si>
  <si>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</si>
  <si>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</si>
  <si>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</si>
  <si>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</si>
  <si>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</si>
  <si>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</si>
  <si>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</si>
  <si>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</si>
  <si>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</si>
  <si>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</si>
  <si>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</si>
  <si>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</si>
  <si>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</si>
  <si>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</si>
  <si>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</si>
  <si>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</si>
  <si>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</si>
  <si>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</si>
  <si>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</si>
  <si>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</si>
  <si>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</si>
  <si>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</si>
  <si>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</si>
  <si>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</si>
  <si>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</si>
  <si>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</si>
  <si>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</si>
  <si>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</si>
  <si>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</si>
  <si>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</si>
  <si>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</si>
  <si>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</si>
  <si>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</si>
  <si>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</si>
  <si>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</si>
  <si>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</si>
  <si>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</si>
  <si>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</si>
  <si>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</si>
  <si>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</si>
  <si>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</si>
  <si>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</si>
  <si>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</si>
  <si>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</si>
  <si>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</si>
  <si>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</si>
  <si>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</si>
  <si>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</si>
  <si>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</si>
  <si>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</si>
  <si>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</si>
  <si>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</si>
  <si>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</si>
  <si>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</si>
  <si>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</si>
  <si>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</si>
  <si>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</si>
  <si>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</si>
  <si>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</si>
  <si>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</si>
  <si>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</si>
  <si>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</si>
  <si>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</si>
  <si>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</si>
  <si>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</si>
  <si>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</si>
  <si>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</si>
  <si>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</si>
  <si>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</si>
  <si>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</si>
  <si>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</si>
  <si>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</si>
  <si>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</si>
  <si>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</si>
  <si>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</si>
  <si>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</si>
  <si>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</si>
  <si>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</si>
  <si>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</si>
  <si>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</si>
  <si>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</si>
  <si>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</si>
  <si>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</si>
  <si>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</si>
  <si>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</si>
  <si>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</si>
  <si>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</si>
  <si>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</si>
  <si>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</si>
  <si>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</si>
  <si>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</si>
  <si>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</si>
  <si>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</si>
  <si>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</si>
  <si>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</si>
  <si>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</si>
  <si>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</si>
  <si>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</si>
  <si>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</si>
  <si>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</si>
  <si>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</si>
  <si>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</si>
  <si>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</si>
  <si>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</si>
  <si>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</si>
  <si>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</si>
  <si>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</si>
  <si>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</si>
  <si>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</si>
  <si>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</si>
  <si>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</si>
  <si>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</si>
  <si>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</si>
  <si>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</si>
  <si>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</si>
  <si>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</si>
  <si>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</si>
  <si>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</si>
  <si>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</si>
  <si>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</si>
  <si>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</si>
  <si>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</si>
  <si>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</si>
  <si>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</si>
  <si>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</si>
  <si>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</si>
  <si>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</si>
  <si>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</si>
  <si>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</si>
  <si>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</si>
  <si>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</si>
  <si>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</si>
  <si>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</si>
  <si>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</si>
  <si>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</si>
  <si>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</si>
  <si>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</si>
  <si>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</si>
  <si>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</si>
  <si>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</si>
  <si>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</si>
  <si>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</si>
  <si>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</si>
  <si>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</si>
  <si>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</si>
  <si>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</si>
  <si>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</si>
  <si>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</si>
  <si>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</si>
  <si>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</si>
  <si>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</si>
  <si>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</si>
  <si>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</si>
  <si>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</si>
  <si>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</si>
  <si>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</si>
  <si>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</si>
  <si>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</si>
  <si>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</si>
  <si>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</si>
  <si>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</si>
  <si>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</si>
  <si>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</si>
  <si>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</si>
  <si>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</si>
  <si>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</si>
  <si>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</si>
  <si>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</si>
  <si>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</si>
  <si>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</si>
  <si>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</si>
  <si>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</si>
  <si>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</si>
  <si>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</si>
  <si>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</si>
  <si>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</si>
  <si>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</si>
  <si>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</si>
  <si>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</si>
  <si>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</si>
  <si>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</si>
  <si>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</si>
  <si>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</si>
  <si>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</si>
  <si>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</si>
  <si>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</si>
  <si>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</si>
  <si>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</si>
  <si>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</si>
  <si>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</si>
  <si>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</si>
  <si>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</si>
  <si>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</si>
  <si>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</si>
  <si>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</si>
  <si>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</si>
  <si>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</si>
  <si>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</si>
  <si>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</si>
  <si>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</si>
  <si>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</si>
  <si>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</si>
  <si>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</si>
  <si>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</si>
  <si>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</si>
  <si>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</si>
  <si>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</si>
  <si>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</si>
  <si>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</si>
  <si>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</si>
  <si>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</si>
  <si>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</si>
  <si>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</si>
  <si>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</si>
  <si>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</si>
  <si>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</si>
  <si>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</si>
  <si>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</si>
  <si>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</si>
  <si>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</si>
  <si>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</si>
  <si>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</si>
  <si>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</si>
  <si>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</si>
  <si>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</si>
  <si>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</si>
  <si>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</si>
  <si>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</si>
  <si>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</si>
  <si>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</si>
  <si>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</si>
  <si>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</si>
  <si>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</si>
  <si>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</si>
  <si>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</si>
  <si>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</si>
  <si>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</si>
  <si>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</si>
  <si>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</si>
  <si>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</si>
  <si>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</si>
  <si>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</si>
  <si>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</si>
  <si>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</si>
  <si>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</si>
  <si>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</si>
  <si>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</si>
  <si>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</si>
  <si>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</si>
  <si>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</si>
  <si>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</si>
  <si>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</si>
  <si>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</si>
  <si>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</si>
  <si>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</si>
  <si>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</si>
  <si>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</si>
  <si>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</si>
  <si>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</si>
  <si>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</si>
  <si>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</si>
  <si>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</si>
  <si>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</si>
  <si>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</si>
  <si>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</si>
  <si>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</si>
  <si>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</si>
  <si>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</si>
  <si>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</si>
  <si>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</si>
  <si>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</si>
  <si>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</si>
  <si>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</si>
  <si>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</si>
  <si>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</si>
  <si>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</si>
  <si>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</si>
  <si>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</si>
  <si>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</si>
  <si>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</si>
  <si>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</si>
  <si>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</si>
  <si>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</si>
  <si>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</si>
  <si>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</si>
  <si>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</si>
  <si>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</si>
  <si>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</si>
  <si>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</si>
  <si>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</si>
  <si>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</si>
  <si>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</si>
  <si>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</si>
  <si>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</si>
  <si>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</si>
  <si>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</si>
  <si>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</si>
  <si>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</si>
  <si>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</si>
  <si>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</si>
  <si>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</si>
  <si>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</si>
  <si>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</si>
  <si>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</si>
  <si>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</si>
  <si>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</si>
  <si>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</si>
  <si>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</si>
  <si>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</si>
  <si>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</si>
  <si>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</si>
  <si>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</si>
  <si>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</si>
  <si>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</si>
  <si>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</si>
  <si>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</si>
  <si>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</si>
  <si>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</si>
  <si>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</si>
  <si>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</si>
  <si>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</si>
  <si>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</si>
  <si>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</si>
  <si>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</si>
  <si>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</si>
  <si>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</si>
  <si>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</si>
  <si>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</si>
  <si>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</si>
  <si>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</si>
  <si>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</si>
  <si>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</si>
  <si>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</si>
  <si>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</si>
  <si>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</si>
  <si>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</si>
  <si>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</si>
  <si>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</si>
  <si>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</si>
  <si>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</si>
  <si>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</si>
  <si>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</si>
  <si>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</si>
  <si>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</si>
  <si>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</si>
  <si>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</si>
  <si>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</si>
  <si>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</si>
  <si>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</si>
  <si>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</si>
  <si>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</si>
  <si>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</si>
  <si>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</si>
  <si>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</si>
  <si>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</si>
  <si>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</si>
  <si>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</si>
  <si>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</si>
  <si>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</si>
  <si>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</si>
  <si>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</si>
  <si>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</si>
  <si>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</si>
  <si>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</si>
  <si>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</si>
  <si>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</si>
  <si>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</si>
  <si>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</si>
  <si>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</si>
  <si>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</si>
  <si>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</si>
  <si>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</si>
  <si>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</si>
  <si>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</si>
  <si>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</si>
  <si>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</si>
  <si>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</si>
  <si>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</si>
  <si>
    <t>VALENCIA DE ALCANTARA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</si>
</sst>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q9nswFf6MjtUCOM8cJ77tpUaB7otKdQHYK4cVsf/3XTtnt9keD4+B/aIkgYiLM7UDu48jldKwbLiXj0d8ZXmg==" saltValue="L6TFymFqH6awCk1iM5U1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16.7984496124031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94</v>
      </c>
      <c r="D16" s="225">
        <f>IF(ISNUMBER(IF(D_I="SI",Datos!I16,Datos!I16+Datos!AC16)),IF(D_I="SI",Datos!I16,Datos!I16+Datos!AC16)," - ")</f>
        <v>94</v>
      </c>
      <c r="E16" s="226">
        <f>IF(ISNUMBER(IF(D_I="SI",Datos!J16,Datos!J16+Datos!AD16)),IF(D_I="SI",Datos!J16,Datos!J16+Datos!AD16)," - ")</f>
        <v>98</v>
      </c>
      <c r="F16" s="226">
        <f>IF(ISNUMBER(IF(D_I="SI",Datos!K16,Datos!K16+Datos!AE16)),IF(D_I="SI",Datos!K16,Datos!K16+Datos!AE16)," - ")</f>
        <v>99</v>
      </c>
      <c r="G16" s="1034" t="str">
        <f>IF(Datos!E16&lt;&gt;"",Datos!E16,Datos!D16)</f>
        <v>04</v>
      </c>
      <c r="H16" s="227">
        <f>IF(ISNUMBER(IF(D_I="SI",Datos!L16,Datos!L16+Datos!AF16)),IF(D_I="SI",Datos!L16,Datos!L16+Datos!AF16)," - ")</f>
        <v>93</v>
      </c>
      <c r="I16" s="1044" t="str">
        <f>IF(ISNUMBER(Datos!AS16/Datos!BM16),Datos!AS16/Datos!BM16," - ")</f>
        <v xml:space="preserve"> - </v>
      </c>
      <c r="J16" s="1045">
        <f>IF(ISNUMBER(Datos!BY16/Datos!CN16),Datos!BY16/Datos!CN16," - ")</f>
        <v>0</v>
      </c>
      <c r="K16" s="230">
        <f t="shared" si="3"/>
        <v>-1.0638297872340425E-2</v>
      </c>
      <c r="L16" s="1025">
        <f>IF(ISNUMBER(NºAsuntos!I16/NºAsuntos!G16),(NºAsuntos!I16/NºAsuntos!G16)*11," - ")</f>
        <v>10.333333333333334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v>
      </c>
      <c r="D18" s="1049">
        <f>SUBTOTAL(9,D15:D17)</f>
        <v>95</v>
      </c>
      <c r="E18" s="1050">
        <f>SUBTOTAL(9,E15:E17)</f>
        <v>98</v>
      </c>
      <c r="F18" s="1050">
        <f>SUBTOTAL(9,F15:F17)</f>
        <v>99</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95</v>
      </c>
      <c r="D19" s="1071">
        <f>SUBTOTAL(9,D9:D18)</f>
        <v>95</v>
      </c>
      <c r="E19" s="1072">
        <f>SUBTOTAL(9,E9:E18)</f>
        <v>98</v>
      </c>
      <c r="F19" s="1072">
        <f>SUBTOTAL(9,F9:F18)</f>
        <v>99</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GxXqSyedwp5imMowYBrhazAufqYHHxTQhKbk0dco3wlYW98ygrTeO3gA22UNnK+1I+y00/4R3mFSrScWhxL0Q==" saltValue="GO+HHI5230fyPpnp1LDEb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7setZZxtoJSoQEL1gGVubDOt7wUDBvfS02KunFXfYYgQLC38yca5A4zVbbpCZ2mbFvpHmf/6NR7gF1s7e40ZQ==" saltValue="4ytMYeeInwYCB+YB4Cza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1</v>
      </c>
      <c r="U10" s="181">
        <v>1</v>
      </c>
      <c r="V10" s="181">
        <v>0</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1</v>
      </c>
      <c r="BA10" s="129">
        <f t="shared" si="0"/>
        <v>1</v>
      </c>
      <c r="BB10" s="129">
        <f t="shared" si="0"/>
        <v>0</v>
      </c>
      <c r="BC10" s="125">
        <f t="shared" si="0"/>
        <v>0</v>
      </c>
      <c r="BD10" s="126">
        <f>IF(ISNUMBER(BA10/AZ10),BA10/AZ10," - ")</f>
        <v>1</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v>
      </c>
      <c r="J12" s="183">
        <v>165</v>
      </c>
      <c r="K12" s="183">
        <v>119</v>
      </c>
      <c r="L12" s="183">
        <v>186</v>
      </c>
      <c r="M12" s="183">
        <v>41</v>
      </c>
      <c r="N12" s="183">
        <v>27</v>
      </c>
      <c r="O12" s="181">
        <v>54</v>
      </c>
      <c r="P12" s="183">
        <v>27</v>
      </c>
      <c r="Q12" s="183">
        <v>14</v>
      </c>
      <c r="R12" s="183">
        <v>231</v>
      </c>
      <c r="S12" s="183">
        <v>164</v>
      </c>
      <c r="T12" s="183">
        <v>129</v>
      </c>
      <c r="U12" s="183">
        <v>99</v>
      </c>
      <c r="V12" s="183">
        <v>194</v>
      </c>
      <c r="W12" s="183">
        <v>54</v>
      </c>
      <c r="X12" s="189">
        <v>26</v>
      </c>
      <c r="Y12" s="191">
        <v>12</v>
      </c>
      <c r="Z12" s="181">
        <v>9</v>
      </c>
      <c r="AA12" s="181">
        <v>10</v>
      </c>
      <c r="AB12" s="181">
        <v>11</v>
      </c>
      <c r="AC12" s="183">
        <v>0</v>
      </c>
      <c r="AD12" s="183">
        <v>0</v>
      </c>
      <c r="AE12" s="183">
        <v>0</v>
      </c>
      <c r="AF12" s="189">
        <v>0</v>
      </c>
      <c r="AG12" s="202">
        <v>7</v>
      </c>
      <c r="AH12" s="183">
        <v>7</v>
      </c>
      <c r="AI12" s="183">
        <v>5</v>
      </c>
      <c r="AJ12" s="203">
        <v>9</v>
      </c>
      <c r="AK12" s="182">
        <v>0</v>
      </c>
      <c r="AL12" s="183">
        <v>0</v>
      </c>
      <c r="AM12" s="183">
        <v>0</v>
      </c>
      <c r="AN12" s="189">
        <v>0</v>
      </c>
      <c r="AO12" s="259">
        <v>1</v>
      </c>
      <c r="AP12" s="155">
        <v>1</v>
      </c>
      <c r="AQ12" s="155">
        <v>1</v>
      </c>
      <c r="AR12" s="154">
        <v>1</v>
      </c>
      <c r="AS12" s="340" t="s">
        <v>801</v>
      </c>
      <c r="AT12" s="203"/>
      <c r="AU12" s="202"/>
      <c r="AV12" s="203"/>
      <c r="AW12" s="202"/>
      <c r="AX12" s="203"/>
      <c r="AY12" s="126">
        <f t="shared" si="1"/>
        <v>171</v>
      </c>
      <c r="AZ12" s="127">
        <f t="shared" si="1"/>
        <v>136</v>
      </c>
      <c r="BA12" s="127">
        <f t="shared" si="1"/>
        <v>104</v>
      </c>
      <c r="BB12" s="127">
        <f t="shared" si="1"/>
        <v>203</v>
      </c>
      <c r="BC12" s="125">
        <f>IF(ISNUMBER(X12),X12," - ")</f>
        <v>26</v>
      </c>
      <c r="BD12" s="126">
        <f t="shared" si="2"/>
        <v>0.76470588235294112</v>
      </c>
      <c r="BE12" s="127">
        <f t="shared" si="3"/>
        <v>1.9519230769230769</v>
      </c>
      <c r="BF12" s="127">
        <f t="shared" si="4"/>
        <v>0.25</v>
      </c>
      <c r="BG12" s="196">
        <f t="shared" si="5"/>
        <v>2.9519230769230771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v>
      </c>
      <c r="J13" s="184">
        <f t="shared" si="6"/>
        <v>165</v>
      </c>
      <c r="K13" s="184">
        <f t="shared" si="6"/>
        <v>119</v>
      </c>
      <c r="L13" s="184">
        <f t="shared" si="6"/>
        <v>186</v>
      </c>
      <c r="M13" s="184">
        <f t="shared" si="6"/>
        <v>41</v>
      </c>
      <c r="N13" s="184">
        <f t="shared" si="6"/>
        <v>27</v>
      </c>
      <c r="O13" s="184">
        <f t="shared" si="6"/>
        <v>54</v>
      </c>
      <c r="P13" s="184">
        <f t="shared" si="6"/>
        <v>27</v>
      </c>
      <c r="Q13" s="184">
        <f t="shared" si="6"/>
        <v>14</v>
      </c>
      <c r="R13" s="184">
        <f t="shared" si="6"/>
        <v>231</v>
      </c>
      <c r="S13" s="184">
        <f t="shared" si="6"/>
        <v>164</v>
      </c>
      <c r="T13" s="184">
        <f t="shared" si="6"/>
        <v>130</v>
      </c>
      <c r="U13" s="184">
        <f t="shared" si="6"/>
        <v>100</v>
      </c>
      <c r="V13" s="184">
        <f t="shared" si="6"/>
        <v>194</v>
      </c>
      <c r="W13" s="184">
        <f t="shared" si="6"/>
        <v>54</v>
      </c>
      <c r="X13" s="184">
        <f t="shared" si="6"/>
        <v>27</v>
      </c>
      <c r="Y13" s="184">
        <f t="shared" si="6"/>
        <v>12</v>
      </c>
      <c r="Z13" s="184">
        <f t="shared" si="6"/>
        <v>9</v>
      </c>
      <c r="AA13" s="184">
        <f t="shared" si="6"/>
        <v>10</v>
      </c>
      <c r="AB13" s="184">
        <f t="shared" si="6"/>
        <v>11</v>
      </c>
      <c r="AC13" s="184">
        <f t="shared" si="6"/>
        <v>0</v>
      </c>
      <c r="AD13" s="184">
        <f t="shared" si="6"/>
        <v>0</v>
      </c>
      <c r="AE13" s="184">
        <f t="shared" si="6"/>
        <v>0</v>
      </c>
      <c r="AF13" s="184">
        <f>SUBTOTAL(9,AF9:AF12)</f>
        <v>0</v>
      </c>
      <c r="AG13" s="184">
        <f t="shared" ref="AG13:AT13" si="7">SUBTOTAL(9,AG8:AG12)</f>
        <v>7</v>
      </c>
      <c r="AH13" s="184">
        <f t="shared" si="7"/>
        <v>7</v>
      </c>
      <c r="AI13" s="184">
        <f t="shared" si="7"/>
        <v>5</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171</v>
      </c>
      <c r="AZ13" s="184">
        <f>SUBTOTAL(9,AZ8:AZ12)</f>
        <v>137</v>
      </c>
      <c r="BA13" s="184">
        <f>SUBTOTAL(9,BA8:BA12)</f>
        <v>105</v>
      </c>
      <c r="BB13" s="184">
        <f>SUBTOTAL(9,BB8:BB12)</f>
        <v>203</v>
      </c>
      <c r="BC13" s="184">
        <f>SUBTOTAL(9,BC8:BC12)</f>
        <v>26</v>
      </c>
      <c r="BD13" s="205">
        <f>IF(ISNUMBER(BA13/AZ13),BA13/AZ13," - ")</f>
        <v>0.76642335766423353</v>
      </c>
      <c r="BE13" s="206">
        <f>IF(ISNUMBER(BB13/BA13),BB13/BA13, " - ")</f>
        <v>1.9333333333333333</v>
      </c>
      <c r="BF13" s="206">
        <f>IF(ISNUMBER(BC13/BA13),BC13/BA13, " - ")</f>
        <v>0.24761904761904763</v>
      </c>
      <c r="BG13" s="207">
        <f>IF(ISNUMBER((AY13+AZ13)/BA13),(AY13+AZ13)/BA13," - ")</f>
        <v>2.9333333333333331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v>
      </c>
      <c r="J16" s="183">
        <v>98</v>
      </c>
      <c r="K16" s="183">
        <v>99</v>
      </c>
      <c r="L16" s="183">
        <v>93</v>
      </c>
      <c r="M16" s="183">
        <v>8</v>
      </c>
      <c r="N16" s="183">
        <v>60</v>
      </c>
      <c r="O16" s="181">
        <v>0</v>
      </c>
      <c r="P16" s="183">
        <v>2</v>
      </c>
      <c r="Q16" s="183">
        <v>0</v>
      </c>
      <c r="R16" s="183">
        <v>11</v>
      </c>
      <c r="S16" s="183">
        <v>92</v>
      </c>
      <c r="T16" s="183">
        <v>72</v>
      </c>
      <c r="U16" s="183">
        <v>72</v>
      </c>
      <c r="V16" s="183">
        <v>92</v>
      </c>
      <c r="W16" s="183">
        <v>11</v>
      </c>
      <c r="X16" s="189">
        <v>44</v>
      </c>
      <c r="Y16" s="202">
        <v>0</v>
      </c>
      <c r="Z16" s="183">
        <v>0</v>
      </c>
      <c r="AA16" s="183">
        <v>0</v>
      </c>
      <c r="AB16" s="183">
        <v>0</v>
      </c>
      <c r="AC16" s="183">
        <v>0</v>
      </c>
      <c r="AD16" s="183">
        <v>6</v>
      </c>
      <c r="AE16" s="183">
        <v>6</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92</v>
      </c>
      <c r="AZ16" s="127">
        <f t="shared" si="9"/>
        <v>72</v>
      </c>
      <c r="BA16" s="127">
        <f t="shared" si="9"/>
        <v>72</v>
      </c>
      <c r="BB16" s="127">
        <f t="shared" si="9"/>
        <v>92</v>
      </c>
      <c r="BC16" s="125">
        <f>IF(ISNUMBER(W16),W16," - ")</f>
        <v>11</v>
      </c>
      <c r="BD16" s="126">
        <f t="shared" ref="BD16" si="11">IF(ISNUMBER(BA16/AZ16),BA16/AZ16," - ")</f>
        <v>1</v>
      </c>
      <c r="BE16" s="127">
        <f t="shared" ref="BE16" si="12">IF(ISNUMBER(BB16/BA16),BB16/BA16, " - ")</f>
        <v>1.2777777777777777</v>
      </c>
      <c r="BF16" s="127">
        <f t="shared" ref="BF16" si="13">IF(ISNUMBER(BC16/BA16),BC16/BA16, " - ")</f>
        <v>0.15277777777777779</v>
      </c>
      <c r="BG16" s="196">
        <f t="shared" si="10"/>
        <v>2.2777777777777777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0</v>
      </c>
      <c r="K17" s="183">
        <v>0</v>
      </c>
      <c r="L17" s="183">
        <v>1</v>
      </c>
      <c r="M17" s="183">
        <v>0</v>
      </c>
      <c r="N17" s="183">
        <v>0</v>
      </c>
      <c r="O17" s="183">
        <v>0</v>
      </c>
      <c r="P17" s="183">
        <v>0</v>
      </c>
      <c r="Q17" s="183">
        <v>0</v>
      </c>
      <c r="R17" s="183">
        <v>0</v>
      </c>
      <c r="S17" s="183">
        <v>4</v>
      </c>
      <c r="T17" s="183">
        <v>0</v>
      </c>
      <c r="U17" s="183">
        <v>0</v>
      </c>
      <c r="V17" s="183">
        <v>4</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v>
      </c>
      <c r="AZ17" s="129">
        <f t="shared" si="14"/>
        <v>0</v>
      </c>
      <c r="BA17" s="129">
        <f t="shared" si="14"/>
        <v>0</v>
      </c>
      <c r="BB17" s="129">
        <f t="shared" si="14"/>
        <v>4</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v>
      </c>
      <c r="J18" s="184">
        <f t="shared" si="15"/>
        <v>98</v>
      </c>
      <c r="K18" s="184">
        <f t="shared" si="15"/>
        <v>99</v>
      </c>
      <c r="L18" s="184">
        <f t="shared" si="15"/>
        <v>94</v>
      </c>
      <c r="M18" s="184">
        <f t="shared" si="15"/>
        <v>8</v>
      </c>
      <c r="N18" s="184">
        <f t="shared" si="15"/>
        <v>60</v>
      </c>
      <c r="O18" s="184">
        <f t="shared" si="15"/>
        <v>0</v>
      </c>
      <c r="P18" s="184">
        <f t="shared" si="15"/>
        <v>2</v>
      </c>
      <c r="Q18" s="184">
        <f t="shared" si="15"/>
        <v>0</v>
      </c>
      <c r="R18" s="184">
        <f t="shared" si="15"/>
        <v>11</v>
      </c>
      <c r="S18" s="184">
        <f t="shared" si="15"/>
        <v>96</v>
      </c>
      <c r="T18" s="184">
        <f t="shared" si="15"/>
        <v>72</v>
      </c>
      <c r="U18" s="184">
        <f t="shared" si="15"/>
        <v>72</v>
      </c>
      <c r="V18" s="184">
        <f t="shared" si="15"/>
        <v>96</v>
      </c>
      <c r="W18" s="184">
        <f t="shared" si="15"/>
        <v>11</v>
      </c>
      <c r="X18" s="184">
        <f t="shared" si="15"/>
        <v>44</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96</v>
      </c>
      <c r="AZ18" s="184">
        <f>SUBTOTAL(9,AZ14:AZ17)</f>
        <v>72</v>
      </c>
      <c r="BA18" s="184">
        <f>SUBTOTAL(9,BA14:BA17)</f>
        <v>72</v>
      </c>
      <c r="BB18" s="184">
        <f>SUBTOTAL(9,BB14:BB17)</f>
        <v>96</v>
      </c>
      <c r="BC18" s="184">
        <f>SUBTOTAL(9,BC14:BC17)</f>
        <v>11</v>
      </c>
      <c r="BD18" s="205">
        <f>IF(ISNUMBER(BA18/AZ18),BA18/AZ18," - ")</f>
        <v>1</v>
      </c>
      <c r="BE18" s="206">
        <f>IF(ISNUMBER(BB18/BA18),BB18/BA18, " - ")</f>
        <v>1.3333333333333333</v>
      </c>
      <c r="BF18" s="206">
        <f>IF(ISNUMBER(BC18/BA18),BC18/BA18, " - ")</f>
        <v>0.15277777777777779</v>
      </c>
      <c r="BG18" s="207">
        <f>IF(ISNUMBER((AY18+AZ18)/BA18),(AY18+AZ18)/BA18," - ")</f>
        <v>2.3333333333333335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234</v>
      </c>
      <c r="J19" s="134">
        <f t="shared" si="18"/>
        <v>263</v>
      </c>
      <c r="K19" s="134">
        <f t="shared" si="18"/>
        <v>218</v>
      </c>
      <c r="L19" s="134">
        <f t="shared" si="18"/>
        <v>280</v>
      </c>
      <c r="M19" s="134">
        <f t="shared" si="18"/>
        <v>49</v>
      </c>
      <c r="N19" s="134">
        <f t="shared" si="18"/>
        <v>87</v>
      </c>
      <c r="O19" s="134">
        <f t="shared" si="18"/>
        <v>54</v>
      </c>
      <c r="P19" s="134">
        <f t="shared" si="18"/>
        <v>29</v>
      </c>
      <c r="Q19" s="134">
        <f t="shared" si="18"/>
        <v>14</v>
      </c>
      <c r="R19" s="134">
        <f t="shared" si="18"/>
        <v>242</v>
      </c>
      <c r="S19" s="134">
        <f t="shared" si="18"/>
        <v>260</v>
      </c>
      <c r="T19" s="134">
        <f t="shared" si="18"/>
        <v>202</v>
      </c>
      <c r="U19" s="134">
        <f t="shared" si="18"/>
        <v>172</v>
      </c>
      <c r="V19" s="134">
        <f t="shared" si="18"/>
        <v>290</v>
      </c>
      <c r="W19" s="134">
        <f t="shared" si="18"/>
        <v>65</v>
      </c>
      <c r="X19" s="134">
        <f t="shared" si="18"/>
        <v>71</v>
      </c>
      <c r="Y19" s="134">
        <f t="shared" si="18"/>
        <v>12</v>
      </c>
      <c r="Z19" s="134">
        <f t="shared" si="18"/>
        <v>9</v>
      </c>
      <c r="AA19" s="134">
        <f t="shared" si="18"/>
        <v>10</v>
      </c>
      <c r="AB19" s="134">
        <f t="shared" si="18"/>
        <v>11</v>
      </c>
      <c r="AC19" s="134">
        <f t="shared" si="18"/>
        <v>0</v>
      </c>
      <c r="AD19" s="134">
        <f t="shared" si="18"/>
        <v>6</v>
      </c>
      <c r="AE19" s="134">
        <f t="shared" si="18"/>
        <v>6</v>
      </c>
      <c r="AF19" s="134">
        <f t="shared" si="18"/>
        <v>0</v>
      </c>
      <c r="AG19" s="134">
        <f t="shared" si="18"/>
        <v>7</v>
      </c>
      <c r="AH19" s="134">
        <f t="shared" si="18"/>
        <v>7</v>
      </c>
      <c r="AI19" s="134">
        <f t="shared" si="18"/>
        <v>5</v>
      </c>
      <c r="AJ19" s="134">
        <f t="shared" si="18"/>
        <v>9</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267</v>
      </c>
      <c r="AZ19" s="134">
        <f>SUBTOTAL(9,AZ9:AZ18)</f>
        <v>209</v>
      </c>
      <c r="BA19" s="134">
        <f>SUBTOTAL(9,BA9:BA18)</f>
        <v>177</v>
      </c>
      <c r="BB19" s="134">
        <f>SUBTOTAL(9,BB9:BB18)</f>
        <v>299</v>
      </c>
      <c r="BC19" s="135">
        <f>SUBTOTAL(9,BC9:BC18)</f>
        <v>37</v>
      </c>
      <c r="BD19" s="213">
        <f>IF(ISNUMBER(BA19/AZ19),BA19/AZ19," - ")</f>
        <v>0.84688995215311003</v>
      </c>
      <c r="BE19" s="210">
        <f>IF(ISNUMBER(BB19/BA19),BB19/BA19, " - ")</f>
        <v>1.6892655367231639</v>
      </c>
      <c r="BF19" s="210">
        <f>IF(ISNUMBER(BC19/BA19),BC19/BA19, " - ")</f>
        <v>0.20903954802259886</v>
      </c>
      <c r="BG19" s="135">
        <f>IF(ISNUMBER((AY19+AZ19)/BA19),(AY19+AZ19)/BA19," - ")</f>
        <v>2.6892655367231639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uFG6db5JkuiVr971vgsA8CtgKUSr1yzAA5RpKgaze+QBqcpDhniLWySbPO4nU4Ns59EWsMP8OmV3gmTY/k7mA==" saltValue="Ff44WkWkJv6pBwGFxm2cB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qmw7AujaZU92WvS3711q6bAqIXVUfXpiu6oTC1S0GCAVT/0bZYwxqwxcrAXlhX2QnOIgcPxdnnFSLDo/9WFuA==" saltValue="fTUwQKEPpT0QIB/cyV1OC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231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v>
      </c>
      <c r="BD12" s="229">
        <f>IF(ISNUMBER(Datos!N12),Datos!N12," - ")</f>
        <v>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0.74137931034482762</v>
      </c>
      <c r="BH12" s="260">
        <f>IF(ISNUMBER(((IF(J_V="SI",Datos!L12/Datos!K12,(Datos!L12+Datos!AB12)/(Datos!K12+Datos!AA12)))*11)/factor_trimestre),((IF(J_V="SI",Datos!L12/Datos!K12,(Datos!L12+Datos!AB12)/(Datos!K12+Datos!AA12)))*11)/factor_trimestre," - ")</f>
        <v>4.5813953488372094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5.9633027522935783E-2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231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v>
      </c>
      <c r="BD13" s="899">
        <f t="shared" si="1"/>
        <v>27</v>
      </c>
      <c r="BE13" s="899">
        <f t="shared" si="1"/>
        <v>0</v>
      </c>
      <c r="BF13" s="899">
        <f t="shared" si="1"/>
        <v>0</v>
      </c>
      <c r="BG13" s="899">
        <f>IF(ISNUMBER(Datos!K13/Datos!J13),Datos!K13/Datos!J13," - ")</f>
        <v>0.72121212121212119</v>
      </c>
      <c r="BH13" s="903">
        <f>IF(ISNUMBER(((Datos!L13/Datos!K13)*11)/factor_trimestre),((Datos!L13/Datos!K13)*11)/factor_trimestre," - ")</f>
        <v>4.6890756302521011</v>
      </c>
      <c r="BI13" s="899">
        <f>IF(ISNUMBER('Resol  Asuntos'!D13/NºAsuntos!G13),'Resol  Asuntos'!D13/NºAsuntos!G13," - ")</f>
        <v>0.31782945736434109</v>
      </c>
      <c r="BJ13" s="899" t="str">
        <f>IF(ISNUMBER(Datos!CI13/Datos!CJ13),Datos!CI13/Datos!CJ13," - ")</f>
        <v xml:space="preserve"> - </v>
      </c>
      <c r="BK13" s="899">
        <f>SUBTOTAL(9,BK8:BK12)</f>
        <v>0</v>
      </c>
      <c r="BL13" s="899" t="str">
        <f>IF(ISNUMBER((I13-AB13+L13)/(F13)),(I13-AB13+L13)/(F13)," - ")</f>
        <v xml:space="preserve"> - </v>
      </c>
      <c r="BM13" s="904">
        <f>SUBTOTAL(9,BM9:BM12)</f>
        <v>5.9633027522935783E-2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94</v>
      </c>
      <c r="G16" s="598">
        <f>IF(ISNUMBER(IF(D_I="SI",Datos!I16,Datos!I16+Datos!AC16)),IF(D_I="SI",Datos!I16,Datos!I16+Datos!AC16)," - ")</f>
        <v>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v>
      </c>
      <c r="AC16" s="226">
        <f>IF(ISNUMBER(Datos!Q16),Datos!Q16," - ")</f>
        <v>0</v>
      </c>
      <c r="AD16" s="334"/>
      <c r="AE16" s="484"/>
      <c r="AF16" s="596">
        <f>IF(ISNUMBER(IF(D_I="SI",Datos!L16,Datos!L16+Datos!AF16)),IF(D_I="SI",Datos!L16,Datos!L16+Datos!AF16)," - ")</f>
        <v>93</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1.010204081632653</v>
      </c>
      <c r="BH16" s="260">
        <f>IF(ISNUMBER(((IF(D_I="SI",Datos!L16/Datos!K16,(Datos!L16+Datos!AF16)/(Datos!K16+Datos!AE16)))*11)/factor_trimestre),((IF(D_I="SI",Datos!L16/Datos!K16,(Datos!L16+Datos!AF16)/(Datos!K16+Datos!AE16)))*11)/factor_trimestre," - ")</f>
        <v>2.8181818181818183</v>
      </c>
      <c r="BI16" s="243">
        <f>IF(ISNUMBER('Resol  Asuntos'!D16/NºAsuntos!G16),'Resol  Asuntos'!D16/NºAsuntos!G16," - ")</f>
        <v>8.0808080808080815E-2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94</v>
      </c>
      <c r="G18" s="898">
        <f>SUBTOTAL(9,G15:G17)</f>
        <v>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v>
      </c>
      <c r="AC18" s="899">
        <f t="shared" si="4"/>
        <v>0</v>
      </c>
      <c r="AD18" s="899">
        <f t="shared" si="4"/>
        <v>0</v>
      </c>
      <c r="AE18" s="899">
        <f t="shared" si="4"/>
        <v>0</v>
      </c>
      <c r="AF18" s="899">
        <f t="shared" si="4"/>
        <v>94</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60</v>
      </c>
      <c r="BE18" s="899">
        <f t="shared" si="4"/>
        <v>0</v>
      </c>
      <c r="BF18" s="899">
        <f t="shared" si="4"/>
        <v>0</v>
      </c>
      <c r="BG18" s="899">
        <f>IF(ISNUMBER(Datos!K18/Datos!J18),Datos!K18/Datos!J18," - ")</f>
        <v>1.010204081632653</v>
      </c>
      <c r="BH18" s="903">
        <f>IF(ISNUMBER(((Datos!L18/Datos!K18)*11)/factor_trimestre),((Datos!L18/Datos!K18)*11)/factor_trimestre," - ")</f>
        <v>2.8484848484848486</v>
      </c>
      <c r="BI18" s="899">
        <f>SUBTOTAL(9,BI15:BI17)</f>
        <v>8.0808080808080815E-2</v>
      </c>
      <c r="BJ18" s="899">
        <f>SUBTOTAL(9,BJ15:BJ17)</f>
        <v>0</v>
      </c>
      <c r="BK18" s="899">
        <f>SUBTOTAL(9,BK15:BK17)</f>
        <v>0</v>
      </c>
      <c r="BL18" s="899">
        <f>IF(ISNUMBER((I18-AB18+L18)/(F18)),(I18-AB18+L18)/(F18)," - ")</f>
        <v>-1.053191489361702</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94</v>
      </c>
      <c r="G19" s="820">
        <f t="shared" si="6"/>
        <v>95</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99</v>
      </c>
      <c r="AC19" s="821">
        <f t="shared" si="7"/>
        <v>14</v>
      </c>
      <c r="AD19" s="821">
        <f t="shared" si="7"/>
        <v>0</v>
      </c>
      <c r="AE19" s="821">
        <f t="shared" si="7"/>
        <v>0</v>
      </c>
      <c r="AF19" s="828">
        <f t="shared" si="7"/>
        <v>94</v>
      </c>
      <c r="AG19" s="828">
        <f t="shared" si="7"/>
        <v>0</v>
      </c>
      <c r="AH19" s="828">
        <f t="shared" si="7"/>
        <v>11</v>
      </c>
      <c r="AI19" s="828">
        <f t="shared" si="7"/>
        <v>0</v>
      </c>
      <c r="AJ19" s="821">
        <f t="shared" si="7"/>
        <v>0</v>
      </c>
      <c r="AK19" s="828">
        <f t="shared" si="7"/>
        <v>0</v>
      </c>
      <c r="AL19" s="828">
        <f t="shared" si="7"/>
        <v>0</v>
      </c>
      <c r="AM19" s="828">
        <f t="shared" si="7"/>
        <v>242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v>
      </c>
      <c r="BD19" s="820">
        <f t="shared" si="7"/>
        <v>87</v>
      </c>
      <c r="BE19" s="820">
        <f t="shared" si="7"/>
        <v>0</v>
      </c>
      <c r="BF19" s="830">
        <f t="shared" si="7"/>
        <v>0</v>
      </c>
      <c r="BG19" s="915">
        <f>IF(ISNUMBER(Datos!K19/Datos!J19),Datos!K19/Datos!J19," - ")</f>
        <v>0.82889733840304181</v>
      </c>
      <c r="BH19" s="915">
        <f>IF(ISNUMBER(((Datos!L19/Datos!K19)*11)/factor_trimestre),((Datos!L19/Datos!K19)*11)/factor_trimestre," - ")</f>
        <v>3.8532110091743124</v>
      </c>
      <c r="BI19" s="813">
        <f>IF(ISNUMBER(Datos!J19/Datos!I19),Datos!J19/Datos!I19," - ")</f>
        <v>1.1239316239316239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-1.053191489361702</v>
      </c>
      <c r="BM19" s="889">
        <f>IF(ISNUMBER((Datos!P19-Datos!Q19+R19)/(Datos!R19-Datos!P19+Datos!Q19-R19)),(Datos!P19-Datos!Q19+R19)/(Datos!R19-Datos!P19+Datos!Q19-R19)," - ")</f>
        <v>6.6079295154185022E-2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54.270925303824825</v>
      </c>
      <c r="G21" s="552">
        <f>IF(ISNUMBER(STDEV(G8:G18)),STDEV(G8:G18),"-")</f>
        <v>51.580034897235187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54.224533193011446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19.438792829460031</v>
      </c>
      <c r="BD21" s="551"/>
      <c r="BE21" s="551">
        <f>IF(ISNUMBER(STDEV(BE8:BE18)),STDEV(BE8:BE18),"-")</f>
        <v>0</v>
      </c>
      <c r="BF21" s="556">
        <f>IF(ISNUMBER(STDEV(BF8:BF18)),STDEV(BF8:BF18),"-")</f>
        <v>0</v>
      </c>
      <c r="BG21" s="775">
        <f>IF(ISNUMBER(STDEV(BG8:BG18)),STDEV(BG8:BG18),"-")</f>
        <v>0.16123816163489985</v>
      </c>
      <c r="BH21" s="776">
        <f>IF(ISNUMBER(STDEV(BH8:BH18)),STDEV(BH8:BH18),"-")</f>
        <v>1.0413305653320941</v>
      </c>
      <c r="BI21" s="249">
        <f>IF(ISNUMBER(STDEV(BI8:BI18)),STDEV(BI8:BI18),"-")</f>
        <v>0.13684435555845254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SsEeVvsk0zDP7Vnw5NV/LmpB4RzDMeAUixLIL3G+z9ee46R4qYOAWHIznOzzW7kMMU3Bzkzp/56zZOU8LF7fw==" saltValue="nkhdvQYTDDmf6FX2xwMzS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VALENCIA DE ALCANTARA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231</v>
      </c>
      <c r="AF12" s="229" t="str">
        <f>IF(ISNUMBER(Datos!BV12),Datos!BV12," - ")</f>
        <v xml:space="preserve"> - </v>
      </c>
      <c r="AG12" s="225" t="str">
        <f>IF(ISNUMBER(Datos!DV12),Datos!DV12," - ")</f>
        <v xml:space="preserve"> - </v>
      </c>
      <c r="AH12" s="298"/>
      <c r="AI12" s="227"/>
      <c r="AJ12" s="225">
        <f>IF(ISNUMBER(Datos!M12),Datos!M12," - ")</f>
        <v>41</v>
      </c>
      <c r="AK12" s="229">
        <f>IF(ISNUMBER(Datos!N12),Datos!N12," - ")</f>
        <v>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4.5813953488372094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5.9633027522935783E-2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0</v>
      </c>
      <c r="AB13" s="900">
        <f t="shared" si="2"/>
        <v>0</v>
      </c>
      <c r="AC13" s="900">
        <f t="shared" si="2"/>
        <v>0</v>
      </c>
      <c r="AD13" s="900">
        <f t="shared" si="2"/>
        <v>0</v>
      </c>
      <c r="AE13" s="900">
        <f t="shared" si="2"/>
        <v>231</v>
      </c>
      <c r="AF13" s="908">
        <f t="shared" si="2"/>
        <v>0</v>
      </c>
      <c r="AG13" s="908">
        <f t="shared" si="2"/>
        <v>0</v>
      </c>
      <c r="AH13" s="908">
        <f t="shared" si="2"/>
        <v>0</v>
      </c>
      <c r="AI13" s="908">
        <f t="shared" si="2"/>
        <v>0</v>
      </c>
      <c r="AJ13" s="908">
        <f t="shared" si="2"/>
        <v>41</v>
      </c>
      <c r="AK13" s="908">
        <f t="shared" si="2"/>
        <v>27</v>
      </c>
      <c r="AL13" s="908">
        <f t="shared" si="2"/>
        <v>0</v>
      </c>
      <c r="AM13" s="908">
        <f t="shared" si="2"/>
        <v>0</v>
      </c>
      <c r="AN13" s="908">
        <f t="shared" si="2"/>
        <v>0</v>
      </c>
      <c r="AO13" s="904">
        <f>IF(ISNUMBER(((NºAsuntos!I13/NºAsuntos!G13)*11)/factor_trimestre),((NºAsuntos!I13/NºAsuntos!G13)*11)/factor_trimestre," - ")</f>
        <v>4.5813953488372094</v>
      </c>
      <c r="AP13" s="910" t="str">
        <f>IF(ISNUMBER(Datos!CI13/Datos!CJ13),Datos!CI13/Datos!CJ13," - ")</f>
        <v xml:space="preserve"> - </v>
      </c>
      <c r="AQ13" s="928">
        <f t="shared" ref="AQ13:AV13" si="3">SUBTOTAL(9,AQ9:AQ12)</f>
        <v>0</v>
      </c>
      <c r="AR13" s="928">
        <f t="shared" si="3"/>
        <v>5.9633027522935783E-2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94</v>
      </c>
      <c r="G16" s="225">
        <f>IF(ISNUMBER(IF(D_I="SI",Datos!I16,Datos!I16+Datos!AC16)),IF(D_I="SI",Datos!I16,Datos!I16+Datos!AC16)," - ")</f>
        <v>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v>
      </c>
      <c r="Z16" s="619">
        <f>IF(ISNUMBER(Datos!Q16),Datos!Q16," - ")</f>
        <v>0</v>
      </c>
      <c r="AA16" s="332">
        <f>IF(ISNUMBER(IF(D_I="SI",Datos!L16,Datos!L16+Datos!AF16)),IF(D_I="SI",Datos!L16,Datos!L16+Datos!AF16)," - ")</f>
        <v>93</v>
      </c>
      <c r="AB16" s="334"/>
      <c r="AC16" s="334"/>
      <c r="AD16" s="484"/>
      <c r="AE16" s="484">
        <f>IF(ISNUMBER(Datos!R16),Datos!R16," - ")</f>
        <v>11</v>
      </c>
      <c r="AF16" s="229" t="str">
        <f>IF(ISNUMBER(Datos!BV16),Datos!BV16," - ")</f>
        <v xml:space="preserve"> - </v>
      </c>
      <c r="AG16" s="225"/>
      <c r="AH16" s="298"/>
      <c r="AI16" s="227"/>
      <c r="AJ16" s="225">
        <f>IF(ISNUMBER(Datos!M16),Datos!M16," - ")</f>
        <v>8</v>
      </c>
      <c r="AK16" s="229">
        <f>IF(ISNUMBER(Datos!N16),Datos!N16," - ")</f>
        <v>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2.8181818181818183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94</v>
      </c>
      <c r="G18" s="898">
        <f>SUBTOTAL(9,G15:G17)</f>
        <v>95</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v>
      </c>
      <c r="Z18" s="932">
        <f t="shared" si="5"/>
        <v>0</v>
      </c>
      <c r="AA18" s="932">
        <f t="shared" si="5"/>
        <v>94</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8</v>
      </c>
      <c r="AK18" s="932">
        <f t="shared" si="5"/>
        <v>60</v>
      </c>
      <c r="AL18" s="932">
        <f t="shared" si="5"/>
        <v>0</v>
      </c>
      <c r="AM18" s="932">
        <f t="shared" si="5"/>
        <v>0</v>
      </c>
      <c r="AN18" s="932">
        <f t="shared" si="5"/>
        <v>0</v>
      </c>
      <c r="AO18" s="934">
        <f>IF(ISNUMBER(((NºAsuntos!I18/NºAsuntos!G18)*11)/factor_trimestre),((NºAsuntos!I18/NºAsuntos!G18)*11)/factor_trimestre," - ")</f>
        <v>2.8484848484848486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94</v>
      </c>
      <c r="G19" s="820">
        <f t="shared" si="7"/>
        <v>95</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99</v>
      </c>
      <c r="Z19" s="827">
        <f t="shared" si="8"/>
        <v>14</v>
      </c>
      <c r="AA19" s="828">
        <f t="shared" si="8"/>
        <v>94</v>
      </c>
      <c r="AB19" s="828">
        <f t="shared" si="8"/>
        <v>0</v>
      </c>
      <c r="AC19" s="828">
        <f t="shared" si="8"/>
        <v>0</v>
      </c>
      <c r="AD19" s="829">
        <f t="shared" si="8"/>
        <v>0</v>
      </c>
      <c r="AE19" s="829">
        <f t="shared" si="8"/>
        <v>242</v>
      </c>
      <c r="AF19" s="830">
        <f t="shared" si="8"/>
        <v>0</v>
      </c>
      <c r="AG19" s="831">
        <f t="shared" si="8"/>
        <v>0</v>
      </c>
      <c r="AH19" s="832">
        <f t="shared" si="8"/>
        <v>0</v>
      </c>
      <c r="AI19" s="830">
        <f t="shared" si="8"/>
        <v>0</v>
      </c>
      <c r="AJ19" s="820">
        <f t="shared" si="8"/>
        <v>49</v>
      </c>
      <c r="AK19" s="820">
        <f t="shared" si="8"/>
        <v>87</v>
      </c>
      <c r="AL19" s="820">
        <f t="shared" si="8"/>
        <v>0</v>
      </c>
      <c r="AM19" s="833">
        <f t="shared" si="8"/>
        <v>0</v>
      </c>
      <c r="AN19" s="823">
        <f>IF(ISNUMBER(Datos!K19/Datos!J19),Datos!K19/Datos!J19," - ")</f>
        <v>0.82889733840304181</v>
      </c>
      <c r="AO19" s="823">
        <f>IF(ISNUMBER(FIND("06",Criterios!A8,1)),(IF(ISNUMBER(((Datos!R19/Datos!Q19)*11)/factor_trimestre),((Datos!R19/Datos!Q19)*11)/factor_trimestre," - ")),(IF(ISNUMBER(((Datos!L19/Datos!K19)*11)/factor_trimestre),((Datos!L19/Datos!K19)*11)/factor_trimestre," - ")))</f>
        <v>3.8532110091743124</v>
      </c>
      <c r="AP19" s="834" t="str">
        <f>IF(ISNUMBER(Datos!CI19/Datos!CJ19),Datos!CI19/Datos!CJ19," - ")</f>
        <v xml:space="preserve"> - </v>
      </c>
      <c r="AQ19" s="834">
        <f>IF(OR(ISNUMBER(FIND("01",Criterios!A8,1)),ISNUMBER(FIND("02",Criterios!A8,1)),ISNUMBER(FIND("03",Criterios!A8,1)),ISNUMBER(FIND("04",Criterios!A8,1))),(J19-Y19+K19)/(F19-K19),(I19-Y19+K19)/(F19-K19))</f>
        <v>-1.053191489361702</v>
      </c>
      <c r="AR19" s="834">
        <f>IF(ISNUMBER((Datos!P19-Datos!Q19+O19)/(Datos!R19-Datos!P19+Datos!Q19-O19)),(Datos!P19-Datos!Q19+O19)/(Datos!R19-Datos!P19+Datos!Q19-O19)," - ")</f>
        <v>6.6079295154185022E-2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54.270925303824825</v>
      </c>
      <c r="G21" s="552">
        <f>IF(ISNUMBER(STDEV(G8:G18)),STDEV(G8:G18),"-")</f>
        <v>51.580034897235187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19.438792829460031</v>
      </c>
      <c r="AK21" s="252"/>
      <c r="AL21" s="252">
        <f>IF(ISNUMBER(STDEV(AL8:AL18)),STDEV(AL8:AL18),"-")</f>
        <v>0</v>
      </c>
      <c r="AM21" s="254">
        <f>IF(ISNUMBER(STDEV(AM8:AM18)),STDEV(AM8:AM18),"-")</f>
        <v>0</v>
      </c>
      <c r="AN21" s="539">
        <f>IF(ISNUMBER(STDEV(AN8:AN18)),STDEV(AN8:AN18),"-")</f>
        <v>0</v>
      </c>
      <c r="AO21" s="540">
        <f>IF(ISNUMBER(STDEV(AO8:AO18)),STDEV(AO8:AO18),"-")</f>
        <v>1.0093198942638308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WmzHApJWLBowrpygQ1BkWZ9hQ4gQsnFaxi9O+7LPPepwGVY09imNRU7guCqqB8OT4Ozz3lfo+D6nTi07yZQNQ==" saltValue="0uIKe/Zik0sDq8zKN6RcJ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2MQLzzhkQHh1ykXUqK3yi4VIB9LIjSpqLOjrIuRbuaUar+7Wwzfrd7LnZJMEgIjYmbN0txtl5kVX+GAaH9Qxw==" saltValue="2lYiYGIYq9CJHVF3xvNg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11+0Ix6XvLr9FiQ3ydouwCO+HWVEE8IBL/n4j9oSD7mrfp9kWDmupzrRMIYoIfOzAO7O3TKNDd+gRdOnjlF2A==" saltValue="WRXb22UOvgnyk8QeQYR1O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0.31782945736434109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0.22473936456316626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Vc3kd3kaJFefXz1Lu0KPdd5Tu7G2GN/25d0bfG9kre4iVgIfMehd22V93qwHFRy+U5bJVJ5rBjZ3oq5Tf9/dQ==" saltValue="BXd3rELQd62ZXQdM5wW3g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x7Pl0BfPYMDYD5IxBnn4ed9DS6HnPU5sFIMfMfNS89DB0m53w/x1F1sjpb9Kcgq5QFp4EWqHAD8yO3DsbTzvg==" saltValue="vBZ/2L85cw30HJ2VxukD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VALENCIA DE ALCANTARA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151</v>
      </c>
      <c r="D12" s="404">
        <f>IF(ISNUMBER(C12/Datos!BH12),C12/Datos!BH12," - ")</f>
        <v>151</v>
      </c>
      <c r="E12" s="403">
        <f>IF(ISNUMBER(IF(J_V="SI",Datos!J12,Datos!J12+Datos!Z12)),IF(J_V="SI",Datos!J12,Datos!J12+Datos!Z12)," - ")</f>
        <v>174</v>
      </c>
      <c r="F12" s="404">
        <f>IF(ISNUMBER(E12/B12),E12/B12," - ")</f>
        <v>174</v>
      </c>
      <c r="G12" s="403">
        <f>IF(ISNUMBER(IF(J_V="SI",Datos!K12,Datos!K12+Datos!AA12)),IF(J_V="SI",Datos!K12,Datos!K12+Datos!AA12)," - ")</f>
        <v>129</v>
      </c>
      <c r="H12" s="404">
        <f>IF(ISNUMBER(G12/B12),G12/B12," - ")</f>
        <v>129</v>
      </c>
      <c r="I12" s="403">
        <f>IF(ISNUMBER(IF(J_V="SI",Datos!L12,Datos!L12+Datos!AB12)),IF(J_V="SI",Datos!L12,Datos!L12+Datos!AB12)," - ")</f>
        <v>197</v>
      </c>
      <c r="J12" s="404">
        <f>IF(ISNUMBER(I12/B12),I12/B12," - ")</f>
        <v>197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151</v>
      </c>
      <c r="D13" s="850" t="str">
        <f>IF(ISNUMBER(C13/Datos!BI13),C13/Datos!BI13," - ")</f>
        <v xml:space="preserve"> - </v>
      </c>
      <c r="E13" s="849">
        <f>SUBTOTAL(9,E8:E12)</f>
        <v>174</v>
      </c>
      <c r="F13" s="850">
        <f>IF(ISNUMBER(E13/B13),E13/B13," - ")</f>
        <v>174</v>
      </c>
      <c r="G13" s="849">
        <f>SUBTOTAL(9,G8:G12)</f>
        <v>129</v>
      </c>
      <c r="H13" s="850">
        <f>IF(ISNUMBER(G13/B13),G13/B13," - ")</f>
        <v>129</v>
      </c>
      <c r="I13" s="849">
        <f>SUBTOTAL(9,I8:I12)</f>
        <v>197</v>
      </c>
      <c r="J13" s="850">
        <f>IF(ISNUMBER(I13/B13),I13/B13," - ")</f>
        <v>197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94</v>
      </c>
      <c r="D16" s="404">
        <f>IF(ISNUMBER(C16/Datos!BH16),C16/Datos!BH16," - ")</f>
        <v>94</v>
      </c>
      <c r="E16" s="403">
        <f>IF(ISNUMBER(IF(D_I="SI",Datos!J16,Datos!J16+Datos!AD16)),IF(D_I="SI",Datos!J16,Datos!J16+Datos!AD16)," - ")</f>
        <v>98</v>
      </c>
      <c r="F16" s="404">
        <f>IF(ISNUMBER(E16/B16),E16/B16," - ")</f>
        <v>98</v>
      </c>
      <c r="G16" s="403">
        <f>IF(ISNUMBER(IF(D_I="SI",Datos!K16,Datos!K16+Datos!AE16)),IF(D_I="SI",Datos!K16,Datos!K16+Datos!AE16)," - ")</f>
        <v>99</v>
      </c>
      <c r="H16" s="404">
        <f>IF(ISNUMBER(G16/B16),G16/B16," - ")</f>
        <v>99</v>
      </c>
      <c r="I16" s="403">
        <f>IF(ISNUMBER(IF(D_I="SI",Datos!L16,Datos!L16+Datos!AF16)),IF(D_I="SI",Datos!L16,Datos!L16+Datos!AF16)," - ")</f>
        <v>93</v>
      </c>
      <c r="J16" s="404">
        <f>IF(ISNUMBER(I16/B16),I16/B16," - ")</f>
        <v>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95</v>
      </c>
      <c r="D18" s="850" t="str">
        <f>IF(ISNUMBER(C18/Datos!BI18),C18/Datos!BI18," - ")</f>
        <v xml:space="preserve"> - </v>
      </c>
      <c r="E18" s="849">
        <f>SUBTOTAL(9,E14:E17)</f>
        <v>98</v>
      </c>
      <c r="F18" s="850">
        <f>IF(ISNUMBER(E18/B18),E18/B18," - ")</f>
        <v>98</v>
      </c>
      <c r="G18" s="849">
        <f>SUBTOTAL(9,G14:G17)</f>
        <v>99</v>
      </c>
      <c r="H18" s="850">
        <f>IF(ISNUMBER(G18/B18),G18/B18," - ")</f>
        <v>99</v>
      </c>
      <c r="I18" s="849">
        <f>SUBTOTAL(9,I14:I17)</f>
        <v>94</v>
      </c>
      <c r="J18" s="850">
        <f>IF(ISNUMBER(I18/B18),I18/B18," - ")</f>
        <v>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246</v>
      </c>
      <c r="D19" s="795" t="str">
        <f>IF(ISNUMBER(C19/Datos!BI19),C19/Datos!BI19," - ")</f>
        <v xml:space="preserve"> - </v>
      </c>
      <c r="E19" s="794">
        <f>SUBTOTAL(9,E9:E18)</f>
        <v>272</v>
      </c>
      <c r="F19" s="795">
        <f>IF(ISNUMBER(E19/B19),E19/B19," - ")</f>
        <v>272</v>
      </c>
      <c r="G19" s="794">
        <f>SUBTOTAL(9,G9:G18)</f>
        <v>228</v>
      </c>
      <c r="H19" s="795">
        <f>IF(ISNUMBER(G19/B19),G19/B19," - ")</f>
        <v>228</v>
      </c>
      <c r="I19" s="794">
        <f>SUBTOTAL(9,I9:I18)</f>
        <v>291</v>
      </c>
      <c r="J19" s="795">
        <f>IF(ISNUMBER(I19/B19),I19/B19," - ")</f>
        <v>291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r855wEXK97UAAdomNvaGJkjeVgU5PVIanQiGbL9KSK/EOJFUpJA2wQR08fbNANCL+xuUvTf5qJkxYfniSYbsA==" saltValue="1QolR0p7vtPVeS6Iln/A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v>
      </c>
      <c r="AM12" s="690">
        <f>IF(ISNUMBER(Datos!N12+DatosP!N16),Datos!N12+DatosP!N16," - ")</f>
        <v>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4.5813953488372094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5.9633027522935783E-2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0</v>
      </c>
      <c r="AG13" s="939">
        <f t="shared" si="1"/>
        <v>0</v>
      </c>
      <c r="AH13" s="939">
        <f t="shared" si="1"/>
        <v>231</v>
      </c>
      <c r="AI13" s="939">
        <f t="shared" si="1"/>
        <v>0</v>
      </c>
      <c r="AJ13" s="939">
        <f t="shared" si="1"/>
        <v>0</v>
      </c>
      <c r="AK13" s="939">
        <f t="shared" si="1"/>
        <v>0</v>
      </c>
      <c r="AL13" s="939">
        <f t="shared" si="1"/>
        <v>41</v>
      </c>
      <c r="AM13" s="939">
        <f t="shared" si="1"/>
        <v>27</v>
      </c>
      <c r="AN13" s="939">
        <f t="shared" si="1"/>
        <v>0</v>
      </c>
      <c r="AO13" s="939">
        <f t="shared" si="1"/>
        <v>0</v>
      </c>
      <c r="AP13" s="944">
        <f>IF(ISNUMBER(((Datos!L13/Datos!K13)*11)/factor_trimestre),((Datos!L13/Datos!K13)*11)/factor_trimestre," - ")</f>
        <v>4.6890756302521011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5.9633027522935783E-2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2.8484848484848486</v>
      </c>
      <c r="AQ18" s="944">
        <f>IF(ISNUMBER(((Datos!M18/Datos!L18)*11)/factor_trimestre),((Datos!M18/Datos!L18)*11)/factor_trimestre," - ")</f>
        <v>0.25531914893617025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-0.10280373831775701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0</v>
      </c>
      <c r="AG19" s="958">
        <f t="shared" si="5"/>
        <v>0</v>
      </c>
      <c r="AH19" s="958">
        <f t="shared" si="5"/>
        <v>231</v>
      </c>
      <c r="AI19" s="958">
        <f t="shared" si="5"/>
        <v>0</v>
      </c>
      <c r="AJ19" s="959">
        <f t="shared" si="5"/>
        <v>0</v>
      </c>
      <c r="AK19" s="959">
        <f t="shared" si="5"/>
        <v>0</v>
      </c>
      <c r="AL19" s="951">
        <f t="shared" si="5"/>
        <v>41</v>
      </c>
      <c r="AM19" s="951">
        <f t="shared" si="5"/>
        <v>27</v>
      </c>
      <c r="AN19" s="951">
        <f t="shared" si="5"/>
        <v>0</v>
      </c>
      <c r="AO19" s="951">
        <f t="shared" si="5"/>
        <v>0</v>
      </c>
      <c r="AP19" s="951">
        <f>IF(ISNUMBER(((Datos!L19/Datos!K19)*11)/factor_trimestre),((Datos!L19/Datos!K19)*11)/factor_trimestre," - ")</f>
        <v>3.8532110091743124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6.6079295154185022E-2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1.0329850169261632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6GH+X+NhnmuGq6EpY9dPHpn8qfx9XmYpHo6s1kQ3eDMGm+VnplVcq9l+8jtkypUjy8TKoO5EGBTjjyvbWuatQ==" saltValue="FqKhpKvuUZIeGuqCglAGM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VALENCIA DE ALCANTARA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MGS7SykfkM3e8g/y6dvP1aY7p2/7o+KXHJlHiPFXDONIqfhUkP3CImtudp5+VO68ZTXX4vdUk4KzhN1obP69g==" saltValue="+pK8dPtZIpj837jQGg3g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VALENCIA DE ALCANTARA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41</v>
      </c>
      <c r="E12" s="404">
        <f t="shared" si="0"/>
        <v>41</v>
      </c>
      <c r="F12" s="403">
        <f>IF(ISNUMBER(Datos!N12),Datos!N12," - ")</f>
        <v>27</v>
      </c>
      <c r="G12" s="404">
        <f t="shared" si="1"/>
        <v>27</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41</v>
      </c>
      <c r="E13" s="850">
        <f t="shared" si="0"/>
        <v>41</v>
      </c>
      <c r="F13" s="849">
        <f>SUBTOTAL(9,F9:F12)</f>
        <v>27</v>
      </c>
      <c r="G13" s="850">
        <f t="shared" si="1"/>
        <v>27</v>
      </c>
      <c r="H13" s="849">
        <f>SUBTOTAL(9,H9:H12)</f>
        <v>54</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60</v>
      </c>
      <c r="G16" s="404">
        <f t="shared" si="4"/>
        <v>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60</v>
      </c>
      <c r="G18" s="850">
        <f t="shared" si="4"/>
        <v>60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49</v>
      </c>
      <c r="E19" s="795">
        <f>IF(ISNUMBER(D19/B19),D19/B19," - ")</f>
        <v>49</v>
      </c>
      <c r="F19" s="794">
        <f>SUBTOTAL(9,F8:F18)</f>
        <v>87</v>
      </c>
      <c r="G19" s="795">
        <f>IF(ISNUMBER(F19/B19),F19/B19," - ")</f>
        <v>87</v>
      </c>
      <c r="H19" s="794">
        <f>SUBTOTAL(9,H8:H18)</f>
        <v>54</v>
      </c>
      <c r="I19" s="795">
        <f>IF(ISNUMBER(H19/B19),H19/B19," - ")</f>
        <v>54</v>
      </c>
    </row>
    <row r="22" spans="1:78">
      <c r="A22" s="391" t="str">
        <f>Criterios!A4</f>
        <v>Fecha Informe: 03 jun. 2025</v>
      </c>
    </row>
    <row r="27" spans="1:78">
      <c r="A27" s="414"/>
    </row>
  </sheetData>
  <sheetProtection algorithmName="SHA-512" hashValue="WMiz/ZolU2fYQZE9C0cPary7O+xIJjsMda0JZtk6EjDd2fMCf/yaPfNm0es5FOpY3ET70gt26HsUs0gV1rBwJQ==" saltValue="1EdovfUjEIDYP8il+UAW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VALENCIA DE ALCANTARA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14</v>
      </c>
      <c r="D12" s="408">
        <f>IF(ISNUMBER(Datos!R12),Datos!R12," - ")</f>
        <v>231</v>
      </c>
    </row>
    <row r="13" spans="1:4" ht="14.25" thickTop="1" thickBot="1">
      <c r="A13" s="848" t="str">
        <f>Datos!A13</f>
        <v>TOTAL</v>
      </c>
      <c r="B13" s="849">
        <f>SUBTOTAL(9,B9:B12)</f>
        <v>27</v>
      </c>
      <c r="C13" s="853">
        <f>SUBTOTAL(9,C9:C12)</f>
        <v>14</v>
      </c>
      <c r="D13" s="851">
        <f>SUBTOTAL(9,D9:D12)</f>
        <v>231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11</v>
      </c>
    </row>
    <row r="19" spans="1:4" ht="16.5" customHeight="1" thickTop="1" thickBot="1">
      <c r="A19" s="793" t="str">
        <f>Datos!A19</f>
        <v>TOTAL JURISDICCIONES</v>
      </c>
      <c r="B19" s="798">
        <f>SUBTOTAL(9,B8:B18)</f>
        <v>29</v>
      </c>
      <c r="C19" s="799">
        <f>SUBTOTAL(9,C8:C18)</f>
        <v>14</v>
      </c>
      <c r="D19" s="800">
        <f>SUBTOTAL(9,D8:D18)</f>
        <v>242</v>
      </c>
    </row>
    <row r="20" spans="1:4" ht="7.5" customHeight="1"/>
    <row r="21" spans="1:4" ht="6" customHeight="1"/>
    <row r="22" spans="1:4">
      <c r="A22" s="391" t="str">
        <f>Criterios!A4</f>
        <v>Fecha Informe: 03 jun. 2025</v>
      </c>
    </row>
    <row r="27" spans="1:4">
      <c r="A27" s="414"/>
    </row>
  </sheetData>
  <sheetProtection algorithmName="SHA-512" hashValue="WrAjF8dXpKQxoW0H0W1qS2fsY9ETKWxFOphkbVluqKdtcK2y2akkwijyNDjEESLTwWmc8bFDS9Kns5UhGOniPw==" saltValue="2h6ptb1aanb/lHupfisA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VALENCIA DE ALCANTARA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f>IF(ISNUMBER((Datos!N10-Datos!X10)/Datos!X10),(Datos!N10-Datos!X10)/Datos!X10," - ")</f>
        <v>-1</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-0.11695906432748537</v>
      </c>
      <c r="C12" s="456">
        <f>IF(ISNUMBER(
   IF(J_V="SI",(Datos!J12-Datos!T12)/Datos!T12,(Datos!J12+Datos!Z12-(Datos!T12+Datos!AH12))/(Datos!T12+Datos!AH12))
     ),IF(J_V="SI",(Datos!J12-Datos!T12)/Datos!T12,(Datos!J12+Datos!Z12-(Datos!T12+Datos!AH12))/(Datos!T12+Datos!AH12))," - ")</f>
        <v>0.27941176470588236</v>
      </c>
      <c r="D12" s="456">
        <f>IF(ISNUMBER(
   IF(J_V="SI",(Datos!K12-Datos!U12)/Datos!U12,(Datos!K12+Datos!AA12-(Datos!U12+Datos!AI12))/(Datos!U12+Datos!AI12))
     ),IF(J_V="SI",(Datos!K12-Datos!U12)/Datos!U12,(Datos!K12+Datos!AA12-(Datos!U12+Datos!AI12))/(Datos!U12+Datos!AI12))," - ")</f>
        <v>0.24038461538461539</v>
      </c>
      <c r="E12" s="456">
        <f>IF(ISNUMBER(
   IF(J_V="SI",(Datos!L12-Datos!V12)/Datos!V12,(Datos!L12+Datos!AB12-(Datos!V12+Datos!AJ12))/(Datos!V12+Datos!AJ12))
     ),IF(J_V="SI",(Datos!L12-Datos!V12)/Datos!V12,(Datos!L12+Datos!AB12-(Datos!V12+Datos!AJ12))/(Datos!V12+Datos!AJ12))," - ")</f>
        <v>-2.9556650246305417E-2</v>
      </c>
      <c r="F12" s="456">
        <f>IF(ISNUMBER((Datos!M12-Datos!W12)/Datos!W12),(Datos!M12-Datos!W12)/Datos!W12," - ")</f>
        <v>-0.24074074074074073</v>
      </c>
      <c r="G12" s="457">
        <f>IF(ISNUMBER((Datos!N12-Datos!X12)/Datos!X12),(Datos!N12-Datos!X12)/Datos!X12," - ")</f>
        <v>3.8461538461538464E-2</v>
      </c>
      <c r="H12" s="455">
        <f>IF(ISNUMBER(((NºAsuntos!G12/NºAsuntos!E12)-Datos!BD12)/Datos!BD12),((NºAsuntos!G12/NºAsuntos!E12)-Datos!BD12)/Datos!BD12," - ")</f>
        <v>-3.0503978779840731E-2</v>
      </c>
      <c r="I12" s="456">
        <f>IF(ISNUMBER(((NºAsuntos!I12/NºAsuntos!G12)-Datos!BE12)/Datos!BE12),((NºAsuntos!I12/NºAsuntos!G12)-Datos!BE12)/Datos!BE12," - ")</f>
        <v>-0.21762706686523844</v>
      </c>
      <c r="J12" s="461">
        <f>IF(ISNUMBER((('Resol  Asuntos'!D12/NºAsuntos!G12)-Datos!BF12)/Datos!BF12),(('Resol  Asuntos'!D12/NºAsuntos!G12)-Datos!BF12)/Datos!BF12," - ")</f>
        <v>0.27131782945736438</v>
      </c>
      <c r="K12" s="462">
        <f>IF(ISNUMBER((((NºAsuntos!C12+NºAsuntos!E12)/NºAsuntos!G12)-Datos!BG12)/Datos!BG12),(((NºAsuntos!C12+NºAsuntos!E12)/NºAsuntos!G12)-Datos!BG12)/Datos!BG12," - ")</f>
        <v>-0.14652930333560593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-0.11695906432748537</v>
      </c>
      <c r="C13" s="855">
        <f>IF(ISNUMBER(
   IF(J_V="SI",(Datos!J13-Datos!T13)/Datos!T13,(Datos!J13+Datos!Z13-(Datos!T13+Datos!AH13))/(Datos!T13+Datos!AH13))
     ),IF(J_V="SI",(Datos!J13-Datos!T13)/Datos!T13,(Datos!J13+Datos!Z13-(Datos!T13+Datos!AH13))/(Datos!T13+Datos!AH13))," - ")</f>
        <v>0.27007299270072993</v>
      </c>
      <c r="D13" s="855">
        <f>IF(ISNUMBER(
   IF(J_V="SI",(Datos!K13-Datos!U13)/Datos!U13,(Datos!K13+Datos!AA13-(Datos!U13+Datos!AI13))/(Datos!U13+Datos!AI13))
     ),IF(J_V="SI",(Datos!K13-Datos!U13)/Datos!U13,(Datos!K13+Datos!AA13-(Datos!U13+Datos!AI13))/(Datos!U13+Datos!AI13))," - ")</f>
        <v>0.22857142857142856</v>
      </c>
      <c r="E13" s="855">
        <f>IF(ISNUMBER(
   IF(J_V="SI",(Datos!L13-Datos!V13)/Datos!V13,(Datos!L13+Datos!AB13-(Datos!V13+Datos!AJ13))/(Datos!V13+Datos!AJ13))
     ),IF(J_V="SI",(Datos!L13-Datos!V13)/Datos!V13,(Datos!L13+Datos!AB13-(Datos!V13+Datos!AJ13))/(Datos!V13+Datos!AJ13))," - ")</f>
        <v>-2.9556650246305417E-2</v>
      </c>
      <c r="F13" s="856">
        <f>IF(ISNUMBER((Datos!M13-Datos!W13)/Datos!W13),(Datos!M13-Datos!W13)/Datos!W13," - ")</f>
        <v>-0.24074074074074073</v>
      </c>
      <c r="G13" s="857">
        <f>IF(ISNUMBER((Datos!N13-Datos!X13)/Datos!X13),(Datos!N13-Datos!X13)/Datos!X13," - ")</f>
        <v>0</v>
      </c>
      <c r="H13" s="857">
        <f>IF(ISNUMBER(((NºAsuntos!G13/NºAsuntos!E13)-Datos!BD13)/Datos!BD13),((NºAsuntos!G13/NºAsuntos!E13)-Datos!BD13)/Datos!BD13," - ")</f>
        <v>-3.2676518883415322E-2</v>
      </c>
      <c r="I13" s="857">
        <f>IF(ISNUMBER(((NºAsuntos!I13/NºAsuntos!G13)-Datos!BE13)/Datos!BE13),((NºAsuntos!I13/NºAsuntos!G13)-Datos!BE13)/Datos!BE13," - ")</f>
        <v>-0.21010425020048112</v>
      </c>
      <c r="J13" s="857">
        <f>IF(ISNUMBER((('Resol  Asuntos'!D13/NºAsuntos!G13)-Datos!BF13)/Datos!BF13),(('Resol  Asuntos'!D13/NºAsuntos!G13)-Datos!BF13)/Datos!BF13," - ")</f>
        <v>0.28354203935599281</v>
      </c>
      <c r="K13" s="857">
        <f>IF(ISNUMBER((((NºAsuntos!C13+NºAsuntos!E13)/NºAsuntos!G13)-Datos!BG13)/Datos!BG13),(((NºAsuntos!C13+NºAsuntos!E13)/NºAsuntos!G13)-Datos!BG13)/Datos!BG13," - ")</f>
        <v>-0.1411205073995771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2.1739130434782608E-2</v>
      </c>
      <c r="C16" s="456">
        <f>IF(ISNUMBER(
   IF(D_I="SI",(Datos!J16-Datos!T16)/Datos!T16,(Datos!J16+Datos!AD16-(Datos!T16+Datos!AL16))/(Datos!T16+Datos!AL16))
     ),IF(D_I="SI",(Datos!J16-Datos!T16)/Datos!T16,(Datos!J16+Datos!AD16-(Datos!T16+Datos!AL16))/(Datos!T16+Datos!AL16))," - ")</f>
        <v>0.3611111111111111</v>
      </c>
      <c r="D16" s="456">
        <f>IF(ISNUMBER(
   IF(D_I="SI",(Datos!K16-Datos!U16)/Datos!U16,(Datos!K16+Datos!AE16-(Datos!U16+Datos!AM16))/(Datos!U16+Datos!AM16))
     ),IF(D_I="SI",(Datos!K16-Datos!U16)/Datos!U16,(Datos!K16+Datos!AE16-(Datos!U16+Datos!AM16))/(Datos!U16+Datos!AM16))," - ")</f>
        <v>0.375</v>
      </c>
      <c r="E16" s="456">
        <f>IF(ISNUMBER(
   IF(D_I="SI",(Datos!L16-Datos!V16)/Datos!V16,(Datos!L16+Datos!AF16-(Datos!V16+Datos!AN16))/(Datos!V16+Datos!AN16))
     ),IF(D_I="SI",(Datos!L16-Datos!V16)/Datos!V16,(Datos!L16+Datos!AF16-(Datos!V16+Datos!AN16))/(Datos!V16+Datos!AN16))," - ")</f>
        <v>1.0869565217391304E-2</v>
      </c>
      <c r="F16" s="456">
        <f>IF(ISNUMBER((Datos!M16-Datos!W16)/Datos!W16),(Datos!M16-Datos!W16)/Datos!W16," - ")</f>
        <v>-0.27272727272727271</v>
      </c>
      <c r="G16" s="457">
        <f>IF(ISNUMBER((Datos!N16-Datos!X16)/Datos!X16),(Datos!N16-Datos!X16)/Datos!X16," - ")</f>
        <v>0.36363636363636365</v>
      </c>
      <c r="H16" s="455">
        <f>IF(ISNUMBER(((NºAsuntos!G16/NºAsuntos!E16)-Datos!BD16)/Datos!BD16),((NºAsuntos!G16/NºAsuntos!E16)-Datos!BD16)/Datos!BD16," - ")</f>
        <v>1.0204081632652962E-2</v>
      </c>
      <c r="I16" s="456">
        <f>IF(ISNUMBER(((NºAsuntos!I16/NºAsuntos!G16)-Datos!BE16)/Datos!BE16),((NºAsuntos!I16/NºAsuntos!G16)-Datos!BE16)/Datos!BE16," - ")</f>
        <v>-0.26482213438735169</v>
      </c>
      <c r="J16" s="461">
        <f>IF(ISNUMBER((('Resol  Asuntos'!D16/NºAsuntos!G16)-Datos!BF16)/Datos!BF16),(('Resol  Asuntos'!D16/NºAsuntos!G16)-Datos!BF16)/Datos!BF16," - ")</f>
        <v>-0.47107438016528924</v>
      </c>
      <c r="K16" s="462">
        <f>IF(ISNUMBER((((NºAsuntos!C16+NºAsuntos!E16)/NºAsuntos!G16)-Datos!BG16)/Datos!BG16),(((NºAsuntos!C16+NºAsuntos!E16)/NºAsuntos!G16)-Datos!BG16)/Datos!BG16," - ")</f>
        <v>-0.14855875831485582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-0.75</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-1.0416666666666666E-2</v>
      </c>
      <c r="C18" s="855">
        <f>IF(ISNUMBER(
   IF(Criterios!B14="SI",(Datos!J18-Datos!T18)/Datos!T18,(Datos!J18+Datos!AD18-(Datos!T18+Datos!AL18))/(Datos!T18+Datos!AL18))
     ),IF(Criterios!B14="SI",(Datos!J18-Datos!T18)/Datos!T18,(Datos!J18+Datos!AD18-(Datos!T18+Datos!AL18))/(Datos!T18+Datos!AL18))," - ")</f>
        <v>0.3611111111111111</v>
      </c>
      <c r="D18" s="855">
        <f>IF(ISNUMBER(
   IF(Criterios!B14="SI",(Datos!K18-Datos!U18)/Datos!U18,(Datos!K18+Datos!AE18-(Datos!U18+Datos!AM18))/(Datos!U18+Datos!AM18))
     ),IF(Criterios!B14="SI",(Datos!K18-Datos!U18)/Datos!U18,(Datos!K18+Datos!AE18-(Datos!U18+Datos!AM18))/(Datos!U18+Datos!AM18))," - ")</f>
        <v>0.375</v>
      </c>
      <c r="E18" s="855">
        <f>IF(ISNUMBER(
   IF(Criterios!B14="SI",(Datos!L18-Datos!V18)/Datos!V18,(Datos!L18+Datos!AF18-(Datos!V18+Datos!AN18))/(Datos!V18+Datos!AN18))
     ),IF(Criterios!B14="SI",(Datos!L18-Datos!V18)/Datos!V18,(Datos!L18+Datos!AF18-(Datos!V18+Datos!AN18))/(Datos!V18+Datos!AN18))," - ")</f>
        <v>-2.0833333333333332E-2</v>
      </c>
      <c r="F18" s="856">
        <f>IF(ISNUMBER((Datos!M18-Datos!W18)/Datos!W18),(Datos!M18-Datos!W18)/Datos!W18," - ")</f>
        <v>-0.27272727272727271</v>
      </c>
      <c r="G18" s="857">
        <f>IF(ISNUMBER((Datos!N18-Datos!X18)/Datos!X18),(Datos!N18-Datos!X18)/Datos!X18," - ")</f>
        <v>0.36363636363636365</v>
      </c>
      <c r="H18" s="857">
        <f>IF(ISNUMBER(((NºAsuntos!G18/NºAsuntos!E18)-Datos!BD18)/Datos!BD18),((NºAsuntos!G18/NºAsuntos!E18)-Datos!BD18)/Datos!BD18," - ")</f>
        <v>1.0204081632652962E-2</v>
      </c>
      <c r="I18" s="857">
        <f>IF(ISNUMBER(((NºAsuntos!I18/NºAsuntos!G18)-Datos!BE18)/Datos!BE18),((NºAsuntos!I18/NºAsuntos!G18)-Datos!BE18)/Datos!BE18," - ")</f>
        <v>-0.28787878787878785</v>
      </c>
      <c r="J18" s="857">
        <f>IF(ISNUMBER((('Resol  Asuntos'!D18/NºAsuntos!G18)-Datos!BF18)/Datos!BF18),(('Resol  Asuntos'!D18/NºAsuntos!G18)-Datos!BF18)/Datos!BF18," - ")</f>
        <v>-0.47107438016528924</v>
      </c>
      <c r="K18" s="857">
        <f>IF(ISNUMBER((((NºAsuntos!C18+NºAsuntos!E18)/NºAsuntos!G18)-Datos!BG18)/Datos!BG18),(((NºAsuntos!C18+NºAsuntos!E18)/NºAsuntos!G18)-Datos!BG18)/Datos!BG18," - ")</f>
        <v>-0.16450216450216459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-7.8651685393258425E-2</v>
      </c>
      <c r="C19" s="802">
        <f>IF(ISNUMBER(
   IF(J_V="SI",(Datos!J19-Datos!T19)/Datos!T19,(Datos!J19+Datos!Z19-(Datos!T19+Datos!AH19))/(Datos!T19+Datos!AH19))
     ),IF(J_V="SI",(Datos!J19-Datos!T19)/Datos!T19,(Datos!J19+Datos!Z19-(Datos!T19+Datos!AH19))/(Datos!T19+Datos!AH19))," - ")</f>
        <v>0.30143540669856461</v>
      </c>
      <c r="D19" s="802">
        <f>IF(ISNUMBER(
   IF(J_V="SI",(Datos!K19-Datos!U19)/Datos!U19,(Datos!K19+Datos!AA19-(Datos!U19+Datos!AI19))/(Datos!U19+Datos!AI19))
     ),IF(J_V="SI",(Datos!K19-Datos!U19)/Datos!U19,(Datos!K19+Datos!AA19-(Datos!U19+Datos!AI19))/(Datos!U19+Datos!AI19))," - ")</f>
        <v>0.28813559322033899</v>
      </c>
      <c r="E19" s="802">
        <f>IF(ISNUMBER(
   IF(J_V="SI",(Datos!L19-Datos!V19)/Datos!V19,(Datos!L19+Datos!AB19-(Datos!V19+Datos!AJ19))/(Datos!V19+Datos!AJ19))
     ),IF(J_V="SI",(Datos!L19-Datos!V19)/Datos!V19,(Datos!L19+Datos!AB19-(Datos!V19+Datos!AJ19))/(Datos!V19+Datos!AJ19))," - ")</f>
        <v>-2.6755852842809364E-2</v>
      </c>
      <c r="F19" s="803">
        <f>IF(ISNUMBER((Datos!M19-Datos!W19)/Datos!W19),(Datos!M19-Datos!W19)/Datos!W19," - ")</f>
        <v>-0.24615384615384617</v>
      </c>
      <c r="G19" s="804">
        <f>IF(ISNUMBER((Datos!N19-Datos!X19)/Datos!X19),(Datos!N19-Datos!X19)/Datos!X19," - ")</f>
        <v>0.22535211267605634</v>
      </c>
      <c r="H19" s="805">
        <f>IF(ISNUMBER((Tasas!B19-Datos!BD19)/Datos!BD19),(Tasas!B19-Datos!BD19)/Datos!BD19," - ")</f>
        <v>-1.0219341974077718E-2</v>
      </c>
      <c r="I19" s="806">
        <f>IF(ISNUMBER((Tasas!C19-Datos!BE19)/Datos!BE19),(Tasas!C19-Datos!BE19)/Datos!BE19," - ")</f>
        <v>-0.24445520154902306</v>
      </c>
      <c r="J19" s="807">
        <f>IF(ISNUMBER((Tasas!D19-Datos!BF19)/Datos!BF19),(Tasas!D19-Datos!BF19)/Datos!BF19," - ")</f>
        <v>2.8093883357041317E-2</v>
      </c>
      <c r="K19" s="807">
        <f>IF(ISNUMBER((Tasas!E19-Datos!BG19)/Datos!BG19),(Tasas!E19-Datos!BG19)/Datos!BG19," - ")</f>
        <v>-0.15518575851393185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0rkIt4MvkUatJFNHXbpMmkG3wwTUjSv0cii1cnM02t8bdMqOklFVN73g5ISKmi1mKYNdVlYz8yG7Ech4yxUdw==" saltValue="T42Yk8OH/5ISEtywU1gg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VALENCIA DE ALCANTARA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0.74137931034482762</v>
      </c>
      <c r="C12" s="443">
        <f>IF(ISNUMBER(NºAsuntos!I12/NºAsuntos!G12),NºAsuntos!I12/NºAsuntos!G12," - ")</f>
        <v>1.5271317829457365</v>
      </c>
      <c r="D12" s="444">
        <f>IF(ISNUMBER('Resol  Asuntos'!D12/NºAsuntos!G12),'Resol  Asuntos'!D12/NºAsuntos!G12," - ")</f>
        <v>0.31782945736434109</v>
      </c>
      <c r="E12" s="445">
        <f>IF(ISNUMBER((NºAsuntos!C12+NºAsuntos!E12)/NºAsuntos!G12),(NºAsuntos!C12+NºAsuntos!E12)/NºAsuntos!G12," - ")</f>
        <v>2.5193798449612403</v>
      </c>
      <c r="G12" s="463"/>
    </row>
    <row r="13" spans="1:7" ht="14.25" thickTop="1" thickBot="1">
      <c r="A13" s="848" t="str">
        <f>Datos!A13</f>
        <v>TOTAL</v>
      </c>
      <c r="B13" s="858">
        <f>IF(ISNUMBER(NºAsuntos!G13/NºAsuntos!E13),NºAsuntos!G13/NºAsuntos!E13," - ")</f>
        <v>0.74137931034482762</v>
      </c>
      <c r="C13" s="859">
        <f>IF(ISNUMBER(NºAsuntos!I13/NºAsuntos!G13),NºAsuntos!I13/NºAsuntos!G13," - ")</f>
        <v>1.5271317829457365</v>
      </c>
      <c r="D13" s="860">
        <f>IF(ISNUMBER('Resol  Asuntos'!D13/NºAsuntos!G13),'Resol  Asuntos'!D13/NºAsuntos!G13," - ")</f>
        <v>0.31782945736434109</v>
      </c>
      <c r="E13" s="861">
        <f>IF(ISNUMBER((NºAsuntos!C13+NºAsuntos!E13)/NºAsuntos!G13),(NºAsuntos!C13+NºAsuntos!E13)/NºAsuntos!G13," - ")</f>
        <v>2.5193798449612403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1.010204081632653</v>
      </c>
      <c r="C16" s="443">
        <f>IF(ISNUMBER(NºAsuntos!I16/NºAsuntos!G16),NºAsuntos!I16/NºAsuntos!G16," - ")</f>
        <v>0.93939393939393945</v>
      </c>
      <c r="D16" s="444">
        <f>IF(ISNUMBER('Resol  Asuntos'!D16/NºAsuntos!G16),'Resol  Asuntos'!D16/NºAsuntos!G16," - ")</f>
        <v>8.0808080808080815E-2</v>
      </c>
      <c r="E16" s="445">
        <f>IF(ISNUMBER((NºAsuntos!C16+NºAsuntos!E16)/NºAsuntos!G16),(NºAsuntos!C16+NºAsuntos!E16)/NºAsuntos!G16," - ")</f>
        <v>1.9393939393939394</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1.010204081632653</v>
      </c>
      <c r="C18" s="859">
        <f>IF(ISNUMBER(NºAsuntos!I18/NºAsuntos!G18),NºAsuntos!I18/NºAsuntos!G18," - ")</f>
        <v>0.9494949494949495</v>
      </c>
      <c r="D18" s="862">
        <f>IF(ISNUMBER('Resol  Asuntos'!D18/NºAsuntos!G18),'Resol  Asuntos'!D18/NºAsuntos!G18," - ")</f>
        <v>8.0808080808080815E-2</v>
      </c>
      <c r="E18" s="861">
        <f>IF(ISNUMBER((NºAsuntos!C18+NºAsuntos!E18)/NºAsuntos!G18),(NºAsuntos!C18+NºAsuntos!E18)/NºAsuntos!G18," - ")</f>
        <v>1.9494949494949494</v>
      </c>
      <c r="G18" s="463"/>
    </row>
    <row r="19" spans="1:7" ht="15.75" customHeight="1" thickTop="1" thickBot="1">
      <c r="A19" s="793" t="str">
        <f>Datos!A19</f>
        <v>TOTAL JURISDICCIONES</v>
      </c>
      <c r="B19" s="808">
        <f>IF(ISNUMBER(NºAsuntos!G19/NºAsuntos!E19),NºAsuntos!G19/NºAsuntos!E19," - ")</f>
        <v>0.83823529411764708</v>
      </c>
      <c r="C19" s="809">
        <f>IF(ISNUMBER(NºAsuntos!I19/NºAsuntos!G19),NºAsuntos!I19/NºAsuntos!G19," - ")</f>
        <v>1.2763157894736843</v>
      </c>
      <c r="D19" s="810">
        <f>IF(ISNUMBER('Resol  Asuntos'!D19/NºAsuntos!G19),'Resol  Asuntos'!D19/NºAsuntos!G19," - ")</f>
        <v>0.21491228070175439</v>
      </c>
      <c r="E19" s="811">
        <f>IF(ISNUMBER((NºAsuntos!C19+NºAsuntos!E19)/NºAsuntos!G19),(NºAsuntos!C19+NºAsuntos!E19)/NºAsuntos!G19," - ")</f>
        <v>2.2719298245614037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Zdh6AX58iW/obTkloG9wdIC/l1hnE3QmuOBQ6znRD9Zm8eUtm5BUASnHqjE/Y29glE+FB4ZWDiZf7V5xP522Q==" saltValue="JcXvOQeqSCEaNdlaqGc8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VALENCIA DE ALCANTARA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v>
      </c>
      <c r="AJ12" s="229" t="str">
        <f>IF(ISNUMBER(Datos!BW12),Datos!BW12," - ")</f>
        <v xml:space="preserve"> - </v>
      </c>
      <c r="AK12" s="228" t="str">
        <f>IF(ISNUMBER(Datos!BX12),Datos!BX12," - ")</f>
        <v xml:space="preserve"> - </v>
      </c>
      <c r="AL12" s="243">
        <f>IF(ISNUMBER(NºAsuntos!G12/NºAsuntos!E12),NºAsuntos!G12/NºAsuntos!E12," - ")</f>
        <v>0.74137931034482762</v>
      </c>
      <c r="AM12" s="260">
        <f>IF(ISNUMBER(((NºAsuntos!I12/NºAsuntos!G12)*11)/factor_trimestre),((NºAsuntos!I12/NºAsuntos!G12)*11)/factor_trimestre," - ")</f>
        <v>4.5813953488372094</v>
      </c>
      <c r="AN12" s="244">
        <f>IF(ISNUMBER('Resol  Asuntos'!D12/NºAsuntos!G12),'Resol  Asuntos'!D12/NºAsuntos!G12," - ")</f>
        <v>0.31782945736434109</v>
      </c>
      <c r="AO12" s="245">
        <f>IF(ISNUMBER((NºAsuntos!C12+NºAsuntos!E12)/NºAsuntos!G12),(NºAsuntos!C12+NºAsuntos!E12)/NºAsuntos!G12," - ")</f>
        <v>2.5193798449612403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0</v>
      </c>
      <c r="AB13" s="868">
        <f t="shared" si="4"/>
        <v>231</v>
      </c>
      <c r="AC13" s="868">
        <f t="shared" si="4"/>
        <v>0</v>
      </c>
      <c r="AD13" s="868">
        <f t="shared" si="4"/>
        <v>0</v>
      </c>
      <c r="AE13" s="872">
        <f t="shared" si="4"/>
        <v>0</v>
      </c>
      <c r="AF13" s="865">
        <f t="shared" si="4"/>
        <v>0</v>
      </c>
      <c r="AG13" s="873">
        <f t="shared" si="4"/>
        <v>0</v>
      </c>
      <c r="AH13" s="870">
        <f t="shared" si="4"/>
        <v>0</v>
      </c>
      <c r="AI13" s="865">
        <f t="shared" si="4"/>
        <v>41</v>
      </c>
      <c r="AJ13" s="867">
        <f t="shared" si="4"/>
        <v>0</v>
      </c>
      <c r="AK13" s="870">
        <f>SUBTOTAL(9,AK9:AK12)</f>
        <v>0</v>
      </c>
      <c r="AL13" s="874">
        <f>IF(ISNUMBER(NºAsuntos!G13/NºAsuntos!E13),NºAsuntos!G13/NºAsuntos!E13," - ")</f>
        <v>0.74137931034482762</v>
      </c>
      <c r="AM13" s="874">
        <f>IF(ISNUMBER(((NºAsuntos!I13/NºAsuntos!G13)*11)/factor_trimestre),((NºAsuntos!I13/NºAsuntos!G13)*11)/factor_trimestre," - ")</f>
        <v>4.5813953488372094</v>
      </c>
      <c r="AN13" s="875">
        <f>IF(ISNUMBER('Resol  Asuntos'!D13/NºAsuntos!G13),'Resol  Asuntos'!D13/NºAsuntos!G13," - ")</f>
        <v>0.31782945736434109</v>
      </c>
      <c r="AO13" s="876">
        <f>IF(ISNUMBER((NºAsuntos!C13+NºAsuntos!E13)/NºAsuntos!G13),(NºAsuntos!C13+NºAsuntos!E13)/NºAsuntos!G13," - ")</f>
        <v>2.5193798449612403</v>
      </c>
      <c r="AP13" s="877" t="str">
        <f t="shared" si="2"/>
        <v xml:space="preserve"> - </v>
      </c>
      <c r="AQ13" s="877" t="str">
        <f>IF(ISNUMBER((H13-W13+K13)/(F13)),(H13-W13+K13)/(F13)," - ")</f>
        <v xml:space="preserve"> - </v>
      </c>
      <c r="AR13" s="878">
        <f>IF(ISNUMBER((Datos!P13-Datos!Q13)/(Datos!R13-Datos!P13+Datos!Q13)),(Datos!P13-Datos!Q13)/(Datos!R13-Datos!P13+Datos!Q13)," - ")</f>
        <v>5.9633027522935783E-2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94</v>
      </c>
      <c r="G16" s="333">
        <f>IF(ISNUMBER(IF(D_I="SI",Datos!I16,Datos!I16+Datos!AC16)),IF(D_I="SI",Datos!I16,Datos!I16+Datos!AC16)," - ")</f>
        <v>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v>
      </c>
      <c r="X16" s="226">
        <f>IF(ISNUMBER(Datos!Q16),Datos!Q16," - ")</f>
        <v>0</v>
      </c>
      <c r="Y16" s="334">
        <f t="shared" ref="Y16:Y17" si="7">SUM(W16:X16)</f>
        <v>99</v>
      </c>
      <c r="Z16" s="335" t="str">
        <f>IF(ISNUMBER(Datos!CC16),Datos!CC16," - ")</f>
        <v xml:space="preserve"> - </v>
      </c>
      <c r="AA16" s="332">
        <f>IF(ISNUMBER(IF(D_I="SI",Datos!L16,Datos!L16+Datos!AF16)),IF(D_I="SI",Datos!L16,Datos!L16+Datos!AF16)," - ")</f>
        <v>93</v>
      </c>
      <c r="AB16" s="334">
        <f>IF(ISNUMBER(Datos!R16),Datos!R16," - ")</f>
        <v>11</v>
      </c>
      <c r="AC16" s="334">
        <f t="shared" si="6"/>
        <v>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1.010204081632653</v>
      </c>
      <c r="AM16" s="260">
        <f>IF(ISNUMBER(((NºAsuntos!I16/NºAsuntos!G16)*11)/factor_trimestre),((NºAsuntos!I16/NºAsuntos!G16)*11)/factor_trimestre," - ")</f>
        <v>2.8181818181818183</v>
      </c>
      <c r="AN16" s="244">
        <f>IF(ISNUMBER('Resol  Asuntos'!D16/NºAsuntos!G16),'Resol  Asuntos'!D16/NºAsuntos!G16," - ")</f>
        <v>8.0808080808080815E-2</v>
      </c>
      <c r="AO16" s="245">
        <f>IF(ISNUMBER((NºAsuntos!C16+NºAsuntos!E16)/NºAsuntos!G16),(NºAsuntos!C16+NºAsuntos!E16)/NºAsuntos!G16," - ")</f>
        <v>1.9393939393939394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94</v>
      </c>
      <c r="G18" s="866">
        <f>SUBTOTAL(9,G15:G17)</f>
        <v>95</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v>
      </c>
      <c r="X18" s="867">
        <f t="shared" si="11"/>
        <v>0</v>
      </c>
      <c r="Y18" s="868">
        <f t="shared" si="11"/>
        <v>99</v>
      </c>
      <c r="Z18" s="868">
        <f t="shared" si="11"/>
        <v>0</v>
      </c>
      <c r="AA18" s="868">
        <f t="shared" si="11"/>
        <v>94</v>
      </c>
      <c r="AB18" s="868">
        <f t="shared" si="11"/>
        <v>11</v>
      </c>
      <c r="AC18" s="868">
        <f t="shared" si="11"/>
        <v>105</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1.010204081632653</v>
      </c>
      <c r="AM18" s="874">
        <f>IF(ISNUMBER(((NºAsuntos!I18/NºAsuntos!G18)*11)/factor_trimestre),((NºAsuntos!I18/NºAsuntos!G18)*11)/factor_trimestre," - ")</f>
        <v>2.8484848484848486</v>
      </c>
      <c r="AN18" s="875">
        <f>IF(ISNUMBER('Resol  Asuntos'!D18/NºAsuntos!G18),'Resol  Asuntos'!D18/NºAsuntos!G18," - ")</f>
        <v>8.0808080808080815E-2</v>
      </c>
      <c r="AO18" s="876">
        <f>IF(ISNUMBER((NºAsuntos!C18+NºAsuntos!E18)/NºAsuntos!G18),(NºAsuntos!C18+NºAsuntos!E18)/NºAsuntos!G18," - ")</f>
        <v>1.9494949494949494</v>
      </c>
      <c r="AP18" s="877" t="str">
        <f t="shared" si="2"/>
        <v xml:space="preserve"> - </v>
      </c>
      <c r="AQ18" s="877">
        <f>IF(ISNUMBER((H18-W18+K18)/(F18)),(H18-W18+K18)/(F18)," - ")</f>
        <v>-1.053191489361702</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94</v>
      </c>
      <c r="G19" s="821">
        <f t="shared" si="13"/>
        <v>95</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99</v>
      </c>
      <c r="X19" s="821">
        <f t="shared" si="14"/>
        <v>14</v>
      </c>
      <c r="Y19" s="828">
        <f t="shared" si="14"/>
        <v>113</v>
      </c>
      <c r="Z19" s="828">
        <f t="shared" si="14"/>
        <v>0</v>
      </c>
      <c r="AA19" s="828">
        <f t="shared" si="14"/>
        <v>94</v>
      </c>
      <c r="AB19" s="828">
        <f t="shared" si="14"/>
        <v>242</v>
      </c>
      <c r="AC19" s="828">
        <f t="shared" si="14"/>
        <v>105</v>
      </c>
      <c r="AD19" s="828">
        <f t="shared" si="14"/>
        <v>0</v>
      </c>
      <c r="AE19" s="830">
        <f t="shared" si="14"/>
        <v>0</v>
      </c>
      <c r="AF19" s="831">
        <f t="shared" si="14"/>
        <v>0</v>
      </c>
      <c r="AG19" s="832">
        <f t="shared" si="14"/>
        <v>0</v>
      </c>
      <c r="AH19" s="830">
        <f t="shared" si="14"/>
        <v>0</v>
      </c>
      <c r="AI19" s="820">
        <f t="shared" si="14"/>
        <v>49</v>
      </c>
      <c r="AJ19" s="820">
        <f t="shared" si="14"/>
        <v>0</v>
      </c>
      <c r="AK19" s="830">
        <f t="shared" si="14"/>
        <v>0</v>
      </c>
      <c r="AL19" s="884">
        <f>IF(ISNUMBER(NºAsuntos!G19/NºAsuntos!E19),NºAsuntos!G19/NºAsuntos!E19," - ")</f>
        <v>0.83823529411764708</v>
      </c>
      <c r="AM19" s="885">
        <f>IF(ISNUMBER(((NºAsuntos!I19/NºAsuntos!G19)*11)/factor_trimestre),((NºAsuntos!I19/NºAsuntos!G19)*11)/factor_trimestre," - ")</f>
        <v>3.8289473684210531</v>
      </c>
      <c r="AN19" s="885">
        <f>IF(ISNUMBER('Resol  Asuntos'!D19/NºAsuntos!G19),'Resol  Asuntos'!D19/NºAsuntos!G19," - ")</f>
        <v>0.21491228070175439</v>
      </c>
      <c r="AO19" s="886">
        <f>IF(ISNUMBER((NºAsuntos!C19+NºAsuntos!E19)/NºAsuntos!G19),(NºAsuntos!C19+NºAsuntos!E19)/NºAsuntos!G19," - ")</f>
        <v>2.2719298245614037</v>
      </c>
      <c r="AP19" s="887" t="str">
        <f t="shared" si="2"/>
        <v xml:space="preserve"> - </v>
      </c>
      <c r="AQ19" s="888">
        <f>IF(OR(ISNUMBER(FIND("01",Criterios!A8,1)),ISNUMBER(FIND("02",Criterios!A8,1)),ISNUMBER(FIND("03",Criterios!A8,1)),ISNUMBER(FIND("04",Criterios!A8,1))),(I19-W19+K19)/(F19-K19),(H19-W19+K19)/(F19-K19))</f>
        <v>-1.053191489361702</v>
      </c>
      <c r="AR19" s="889">
        <f>IF(ISNUMBER((Datos!P19-Datos!Q19)/(Datos!R19-Datos!P19+Datos!Q19)),(Datos!P19-Datos!Q19)/(Datos!R19-Datos!P19+Datos!Q19)," - ")</f>
        <v>6.6079295154185022E-2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54.270925303824825</v>
      </c>
      <c r="G21" s="253">
        <f>IF(ISNUMBER(STDEV(G8:G18)),STDEV(G8:G18),"-")</f>
        <v>51.580034897235187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54.224533193011446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19.438792829460031</v>
      </c>
      <c r="AJ21" s="252">
        <f t="shared" si="18"/>
        <v>0</v>
      </c>
      <c r="AK21" s="254">
        <f t="shared" si="18"/>
        <v>0</v>
      </c>
      <c r="AL21" s="249">
        <f t="shared" si="18"/>
        <v>0.15520605406786536</v>
      </c>
      <c r="AM21" s="250">
        <f t="shared" si="18"/>
        <v>1.0093198942638308</v>
      </c>
      <c r="AN21" s="250">
        <f t="shared" si="18"/>
        <v>0.13684435555845254</v>
      </c>
      <c r="AO21" s="251">
        <f t="shared" si="18"/>
        <v>0.33196472200618871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jCj2G2rc4Rzh8iNEY4O7/YhFbChriy6MWs5E0z+tIk0xFcFquAvhOpmTKSL3esCaYjpb0ARfRKlSFYLFY2frQ==" saltValue="xMsKppJvHhIyFcwNVFzrH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VALENCIA DE ALCANTARA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-0.24074074074074073</v>
      </c>
      <c r="I12" s="350">
        <f>IF(ISNUMBER((Tasas!C12-Datos!BE12)/Datos!BE12),(Tasas!C12-Datos!BE12)/Datos!BE12," - ")</f>
        <v>-0.21762706686523844</v>
      </c>
      <c r="J12" s="349">
        <f>IF(ISNUMBER((Tasas!D12-Datos!BF12)/Datos!BF12),(Tasas!D12-Datos!BF12)/Datos!BF12," - ")</f>
        <v>0.27131782945736438</v>
      </c>
      <c r="K12" s="351">
        <f>IF(ISNUMBER((Tasas!E12-Datos!BG12)/Datos!BG12),(Tasas!E12-Datos!BG12)/Datos!BG12," - ")</f>
        <v>-0.14652930333560593</v>
      </c>
      <c r="M12" t="e">
        <f>IF(Monitorios="SI",Datos!CE12,0)</f>
        <v>#REF!</v>
      </c>
      <c r="N12" t="e">
        <f>IF(Monitorios="SI",Datos!CF12,0)</f>
        <v>#REF!</v>
      </c>
      <c r="O12" t="e">
        <f>IF(Monitorios="SI",Datos!CG12,0)</f>
        <v>#REF!</v>
      </c>
      <c r="P12" t="e">
        <f>IF(Monitorios="SI",Datos!CH12,0)</f>
        <v>#REF!</v>
      </c>
      <c r="Q12">
        <f>IF(J_V="SI",0,Datos!AG12)</f>
        <v>7</v>
      </c>
      <c r="R12">
        <f>IF(J_V="SI",0,Datos!AH12)</f>
        <v>7</v>
      </c>
      <c r="S12">
        <f>IF(J_V="SI",0,Datos!AI12)</f>
        <v>5</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-0.24074074074074073</v>
      </c>
      <c r="I13" s="357">
        <f>IF(ISNUMBER((Tasas!C13-Datos!BE13)/Datos!BE13),(Tasas!C13-Datos!BE13)/Datos!BE13," - ")</f>
        <v>-0.21010425020048112</v>
      </c>
      <c r="J13" s="355">
        <f>IF(ISNUMBER((Tasas!D13-Datos!BF13)/Datos!BF13),(Tasas!D13-Datos!BF13)/Datos!BF13," - ")</f>
        <v>0.28354203935599281</v>
      </c>
      <c r="K13" s="358">
        <f>IF(ISNUMBER((Tasas!E13-Datos!BG13)/Datos!BG13),(Tasas!E13-Datos!BG13)/Datos!BG13," - ")</f>
        <v>-0.1411205073995771</v>
      </c>
      <c r="M13" t="e">
        <f>IF(Monitorios="SI",Datos!CE13,0)</f>
        <v>#REF!</v>
      </c>
      <c r="N13" t="e">
        <f>IF(Monitorios="SI",Datos!CF13,0)</f>
        <v>#REF!</v>
      </c>
      <c r="O13" t="e">
        <f>IF(Monitorios="SI",Datos!CG13,0)</f>
        <v>#REF!</v>
      </c>
      <c r="P13" t="e">
        <f>IF(Monitorios="SI",Datos!CH13,0)</f>
        <v>#REF!</v>
      </c>
      <c r="Q13">
        <f>IF(J_V="SI",0,Datos!AG13)</f>
        <v>7</v>
      </c>
      <c r="R13">
        <f>IF(J_V="SI",0,Datos!AH13)</f>
        <v>7</v>
      </c>
      <c r="S13">
        <f>IF(J_V="SI",0,Datos!AI13)</f>
        <v>5</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2.1739130434782608E-2</v>
      </c>
      <c r="E16" s="348">
        <f>IF(ISNUMBER(
   IF(D_I="SI",(Datos!J16-Datos!T16)/Datos!T16,(Datos!J16+Datos!AD16-(Datos!T16+Datos!AL16))/(Datos!T16+Datos!AL16))
     ),IF(D_I="SI",(Datos!J16-Datos!T16)/Datos!T16,(Datos!J16+Datos!AD16-(Datos!T16+Datos!AL16))/(Datos!T16+Datos!AL16))," - ")</f>
        <v>0.3611111111111111</v>
      </c>
      <c r="F16" s="348">
        <f>IF(ISNUMBER(
   IF(D_I="SI",(Datos!K16-Datos!U16)/Datos!U16,(Datos!K16+Datos!AE16-(Datos!U16+Datos!AM16))/(Datos!U16+Datos!AM16))
     ),IF(D_I="SI",(Datos!K16-Datos!U16)/Datos!U16,(Datos!K16+Datos!AE16-(Datos!U16+Datos!AM16))/(Datos!U16+Datos!AM16))," - ")</f>
        <v>0.375</v>
      </c>
      <c r="G16" s="349">
        <f>IF(ISNUMBER(
   IF(D_I="SI",(Datos!L16-Datos!V16)/Datos!V16,(Datos!L16+Datos!AF16-(Datos!V16+Datos!AN16))/(Datos!V16+Datos!AN16))
     ),IF(D_I="SI",(Datos!L16-Datos!V16)/Datos!V16,(Datos!L16+Datos!AF16-(Datos!V16+Datos!AN16))/(Datos!V16+Datos!AN16))," - ")</f>
        <v>1.0869565217391304E-2</v>
      </c>
      <c r="H16" s="230">
        <f>IF(ISNUMBER((Datos!M16-Datos!W16)/Datos!W16),(Datos!M16-Datos!W16)/Datos!W16," - ")</f>
        <v>-0.27272727272727271</v>
      </c>
      <c r="I16" s="350">
        <f>IF(ISNUMBER((Tasas!C16-Datos!BE16)/Datos!BE16),(Tasas!C16-Datos!BE16)/Datos!BE16," - ")</f>
        <v>-0.26482213438735169</v>
      </c>
      <c r="J16" s="349">
        <f>IF(ISNUMBER((Tasas!D16-Datos!BF16)/Datos!BF16),(Tasas!D16-Datos!BF16)/Datos!BF16," - ")</f>
        <v>-0.47107438016528924</v>
      </c>
      <c r="K16" s="351">
        <f>IF(ISNUMBER((Tasas!E16-Datos!BG16)/Datos!BG16),(Tasas!E16-Datos!BG16)/Datos!BG16," - ")</f>
        <v>-0.14855875831485582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-0.75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-1.0416666666666666E-2</v>
      </c>
      <c r="E18" s="354">
        <f>IF(ISNUMBER(
   IF(D_I="SI",(Datos!J18-Datos!T18)/Datos!T18,(Datos!J18+Datos!AD18-(Datos!T18+Datos!AL18))/(Datos!T18+Datos!AL18))
     ),IF(D_I="SI",(Datos!J18-Datos!T18)/Datos!T18,(Datos!J18+Datos!AD18-(Datos!T18+Datos!AL18))/(Datos!T18+Datos!AL18))," - ")</f>
        <v>0.3611111111111111</v>
      </c>
      <c r="F18" s="354">
        <f>IF(ISNUMBER(
   IF(D_I="SI",(Datos!K18-Datos!U18)/Datos!U18,(Datos!K18+Datos!AE18-(Datos!U18+Datos!AM18))/(Datos!U18+Datos!AM18))
     ),IF(D_I="SI",(Datos!K18-Datos!U18)/Datos!U18,(Datos!K18+Datos!AE18-(Datos!U18+Datos!AM18))/(Datos!U18+Datos!AM18))," - ")</f>
        <v>0.375</v>
      </c>
      <c r="G18" s="355">
        <f>IF(ISNUMBER(
   IF(D_I="SI",(Datos!L18-Datos!V18)/Datos!V18,(Datos!L18+Datos!AF18-(Datos!V18+Datos!AN18))/(Datos!V18+Datos!AN18))
     ),IF(D_I="SI",(Datos!L18-Datos!V18)/Datos!V18,(Datos!L18+Datos!AF18-(Datos!V18+Datos!AN18))/(Datos!V18+Datos!AN18))," - ")</f>
        <v>-2.0833333333333332E-2</v>
      </c>
      <c r="H18" s="356">
        <f>IF(ISNUMBER((Datos!M18-Datos!W18)/Datos!W18),(Datos!M18-Datos!W18)/Datos!W18," - ")</f>
        <v>-0.27272727272727271</v>
      </c>
      <c r="I18" s="357">
        <f>IF(ISNUMBER((Tasas!C18-Datos!BE18)/Datos!BE18),(Tasas!C18-Datos!BE18)/Datos!BE18," - ")</f>
        <v>-0.28787878787878785</v>
      </c>
      <c r="J18" s="355">
        <f>IF(ISNUMBER((Tasas!D18-Datos!BF18)/Datos!BF18),(Tasas!D18-Datos!BF18)/Datos!BF18," - ")</f>
        <v>-0.47107438016528924</v>
      </c>
      <c r="K18" s="358">
        <f>IF(ISNUMBER((Tasas!E18-Datos!BG18)/Datos!BG18),(Tasas!E18-Datos!BG18)/Datos!BG18," - ")</f>
        <v>-0.16450216450216459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-7.8651685393258425E-2</v>
      </c>
      <c r="E19" s="363">
        <f>IF(ISNUMBER(
   IF(J_V="SI",(Datos!J19-Datos!T19)/Datos!T19,(Datos!J19+Datos!Z19-(Datos!T19+Datos!AH19))/(Datos!T19+Datos!AH19))
     ),IF(J_V="SI",(Datos!J19-Datos!T19)/Datos!T19,(Datos!J19+Datos!Z19-(Datos!T19+Datos!AH19))/(Datos!T19+Datos!AH19))," - ")</f>
        <v>0.30143540669856461</v>
      </c>
      <c r="F19" s="363">
        <f>IF(ISNUMBER(
   IF(J_V="SI",(Datos!K19-Datos!U19)/Datos!U19,(Datos!K19+Datos!AA19-(Datos!U19+Datos!AI19))/(Datos!U19+Datos!AI19))
     ),IF(J_V="SI",(Datos!K19-Datos!U19)/Datos!U19,(Datos!K19+Datos!AA19-(Datos!U19+Datos!AI19))/(Datos!U19+Datos!AI19))," - ")</f>
        <v>0.28813559322033899</v>
      </c>
      <c r="G19" s="364">
        <f>IF(ISNUMBER(
   IF(J_V="SI",(Datos!L19-Datos!V19)/Datos!V19,(Datos!L19+Datos!AB19-(Datos!V19+Datos!AJ19))/(Datos!V19+Datos!AJ19))
     ),IF(J_V="SI",(Datos!L19-Datos!V19)/Datos!V19,(Datos!L19+Datos!AB19-(Datos!V19+Datos!AJ19))/(Datos!V19+Datos!AJ19))," - ")</f>
        <v>-2.6755852842809364E-2</v>
      </c>
      <c r="H19" s="365">
        <f>IF(ISNUMBER((Datos!M19-Datos!W19)/Datos!W19),(Datos!M19-Datos!W19)/Datos!W19," - ")</f>
        <v>-0.24615384615384617</v>
      </c>
      <c r="I19" s="362">
        <f>IF(ISNUMBER((Tasas!C19-Datos!BE19)/Datos!BE19),(Tasas!C19-Datos!BE19)/Datos!BE19," - ")</f>
        <v>-0.24445520154902306</v>
      </c>
      <c r="J19" s="363">
        <f>IF(ISNUMBER((Tasas!D19-Datos!BF19)/Datos!BF19),(Tasas!D19-Datos!BF19)/Datos!BF19," - ")</f>
        <v>2.8093883357041317E-2</v>
      </c>
      <c r="K19" s="364">
        <f>IF(ISNUMBER((Tasas!E19-Datos!BG19)/Datos!BG19),(Tasas!E19-Datos!BG19)/Datos!BG19," - ")</f>
        <v>-0.15518575851393185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0.43657736765204019</v>
      </c>
      <c r="E21" s="278">
        <f t="shared" si="1"/>
        <v>0.78583786639699071</v>
      </c>
      <c r="F21" s="278">
        <f t="shared" si="1"/>
        <v>0.79385662013573544</v>
      </c>
      <c r="G21" s="279">
        <f t="shared" si="1"/>
        <v>0.4304283906428566</v>
      </c>
      <c r="H21" s="285">
        <f t="shared" si="1"/>
        <v>1.8467432852866814E-2</v>
      </c>
      <c r="I21" s="277">
        <f t="shared" si="1"/>
        <v>3.740967600494588E-2</v>
      </c>
      <c r="J21" s="278">
        <f t="shared" si="1"/>
        <v>0.43217798208094554</v>
      </c>
      <c r="K21" s="279">
        <f t="shared" si="1"/>
        <v>1.0052442347915328E-2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fZUHy31S+S5uhSusbnsO8p3GMRT931MzUjLHwG4uXv4gv2OdX7BBp/ib+zA2fYYhLCzYl5pqzcMFvuhxEr33w==" saltValue="ih3y+qyVoUPMObWbWYClI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